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E:\NS  NĂM 2026 LP\KỲ họp HĐND 2026\Kỳ hợp HDND tháng 7 - thường kỳ\NQ+Biểu\"/>
    </mc:Choice>
  </mc:AlternateContent>
  <xr:revisionPtr revIDLastSave="0" documentId="13_ncr:1_{7B1870BA-0F04-4153-A4E3-0960B0041560}" xr6:coauthVersionLast="47" xr6:coauthVersionMax="47" xr10:uidLastSave="{00000000-0000-0000-0000-000000000000}"/>
  <bookViews>
    <workbookView xWindow="600" yWindow="0" windowWidth="11220" windowHeight="14970" activeTab="1" xr2:uid="{00000000-000D-0000-FFFF-FFFF00000000}"/>
  </bookViews>
  <sheets>
    <sheet name="Biểu Thu " sheetId="7" r:id="rId1"/>
    <sheet name="Biểu CĐ chi " sheetId="8" r:id="rId2"/>
    <sheet name="Biểu TH trình kỳ họp " sheetId="6" r:id="rId3"/>
    <sheet name="Dự phòng " sheetId="19" state="hidden" r:id="rId4"/>
    <sheet name="Biểu 04-NS" sheetId="13" r:id="rId5"/>
    <sheet name="Biêu 05-CN ĐT" sheetId="15" r:id="rId6"/>
    <sheet name="Biểu 06-ĐT TH" sheetId="17" r:id="rId7"/>
    <sheet name="Phụ lục 01" sheetId="12" r:id="rId8"/>
    <sheet name="PL02" sheetId="18" r:id="rId9"/>
    <sheet name="3. CN" sheetId="5" state="hidden" r:id="rId10"/>
  </sheets>
  <externalReferences>
    <externalReference r:id="rId11"/>
    <externalReference r:id="rId12"/>
    <externalReference r:id="rId13"/>
  </externalReferences>
  <definedNames>
    <definedName name="_xlnm.Print_Area" localSheetId="4">'Biểu 04-NS'!$A$1:$S$187</definedName>
    <definedName name="_xlnm.Print_Area" localSheetId="5">'Biêu 05-CN ĐT'!$A$1:$K$72</definedName>
    <definedName name="_xlnm.Print_Area" localSheetId="6">'Biểu 06-ĐT TH'!$A$1:$I$15</definedName>
    <definedName name="_xlnm.Print_Area" localSheetId="1">'Biểu CĐ chi '!$A$1:$E$24</definedName>
    <definedName name="_xlnm.Print_Area" localSheetId="2">'Biểu TH trình kỳ họp '!$A$1:$G$288</definedName>
    <definedName name="_xlnm.Print_Area" localSheetId="0">'Biểu Thu '!$A$1:$E$130</definedName>
    <definedName name="_xlnm.Print_Area" localSheetId="3">'Dự phòng '!$A$1:$F$47</definedName>
    <definedName name="_xlnm.Print_Area" localSheetId="7">'Phụ lục 01'!$A$1:$D$34</definedName>
    <definedName name="_xlnm.Print_Area" localSheetId="8">'PL02'!$A$1:$AC$64</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282" i="6" l="1"/>
  <c r="E280" i="6"/>
  <c r="D280" i="6"/>
  <c r="D279" i="6" s="1"/>
  <c r="D191" i="6" s="1"/>
  <c r="D6" i="19"/>
  <c r="D7" i="19"/>
  <c r="F292" i="6"/>
  <c r="C165" i="6"/>
  <c r="C164" i="6"/>
  <c r="F72" i="6"/>
  <c r="G72" i="6" s="1"/>
  <c r="G71" i="6" s="1"/>
  <c r="H9" i="6"/>
  <c r="D111" i="6"/>
  <c r="H124" i="6" s="1"/>
  <c r="G280" i="6"/>
  <c r="G284" i="6"/>
  <c r="H256" i="6"/>
  <c r="G243" i="6"/>
  <c r="H125" i="6"/>
  <c r="F20" i="8"/>
  <c r="F19" i="8"/>
  <c r="E123" i="6"/>
  <c r="E124" i="6"/>
  <c r="E120" i="6"/>
  <c r="C111" i="6"/>
  <c r="G111" i="6"/>
  <c r="F113" i="6"/>
  <c r="D143" i="6"/>
  <c r="E143" i="6"/>
  <c r="F143" i="6"/>
  <c r="G143" i="6"/>
  <c r="C143" i="6"/>
  <c r="F127" i="6"/>
  <c r="F111" i="6"/>
  <c r="E111" i="6"/>
  <c r="G120" i="6"/>
  <c r="E117" i="6"/>
  <c r="F200" i="6"/>
  <c r="E193" i="6"/>
  <c r="E192" i="6" s="1"/>
  <c r="F193" i="6"/>
  <c r="F192" i="6" s="1"/>
  <c r="G193" i="6"/>
  <c r="G192" i="6" s="1"/>
  <c r="D193" i="6"/>
  <c r="D192" i="6" s="1"/>
  <c r="F18" i="6"/>
  <c r="F17" i="6" s="1"/>
  <c r="D17" i="6"/>
  <c r="E18" i="6"/>
  <c r="G18" i="6"/>
  <c r="G17" i="6" s="1"/>
  <c r="D18" i="6"/>
  <c r="C17" i="6"/>
  <c r="F288" i="6"/>
  <c r="I285" i="6"/>
  <c r="I284" i="6"/>
  <c r="J284" i="6" s="1"/>
  <c r="I283" i="6"/>
  <c r="D50" i="6"/>
  <c r="G50" i="6" s="1"/>
  <c r="E216" i="6"/>
  <c r="G216" i="6" s="1"/>
  <c r="E211" i="6"/>
  <c r="G211" i="6" s="1"/>
  <c r="C8" i="12"/>
  <c r="C17" i="12"/>
  <c r="C15" i="12"/>
  <c r="C19" i="12"/>
  <c r="C289" i="6"/>
  <c r="D288" i="6"/>
  <c r="D287" i="6" s="1"/>
  <c r="F130" i="13"/>
  <c r="G130" i="13"/>
  <c r="H130" i="13"/>
  <c r="I130" i="13"/>
  <c r="J130" i="13"/>
  <c r="K130" i="13"/>
  <c r="L130" i="13"/>
  <c r="M130" i="13"/>
  <c r="N130" i="13"/>
  <c r="O130" i="13"/>
  <c r="P130" i="13"/>
  <c r="E130" i="13"/>
  <c r="E67" i="13" s="1"/>
  <c r="E8" i="13" s="1"/>
  <c r="E68" i="13"/>
  <c r="H187" i="13"/>
  <c r="M187" i="13" s="1"/>
  <c r="G288" i="6"/>
  <c r="G287" i="6" s="1"/>
  <c r="F287" i="6"/>
  <c r="E287" i="6"/>
  <c r="C287" i="6"/>
  <c r="G286" i="6"/>
  <c r="G285" i="6"/>
  <c r="G283" i="6"/>
  <c r="E282" i="6"/>
  <c r="G282" i="6" s="1"/>
  <c r="G281" i="6"/>
  <c r="F280" i="6"/>
  <c r="C280" i="6"/>
  <c r="C279" i="6"/>
  <c r="G278" i="6"/>
  <c r="G277" i="6"/>
  <c r="G276" i="6"/>
  <c r="F276" i="6"/>
  <c r="E276" i="6"/>
  <c r="D276" i="6"/>
  <c r="C276" i="6"/>
  <c r="G275" i="6"/>
  <c r="F275" i="6"/>
  <c r="E275" i="6"/>
  <c r="D275" i="6"/>
  <c r="C275" i="6"/>
  <c r="G274" i="6"/>
  <c r="G273" i="6"/>
  <c r="G272" i="6"/>
  <c r="G271" i="6" s="1"/>
  <c r="G270" i="6" s="1"/>
  <c r="F271" i="6"/>
  <c r="F270" i="6" s="1"/>
  <c r="E271" i="6"/>
  <c r="D271" i="6"/>
  <c r="C271" i="6"/>
  <c r="E270" i="6"/>
  <c r="C270" i="6"/>
  <c r="G269" i="6"/>
  <c r="G268" i="6"/>
  <c r="G267" i="6"/>
  <c r="F267" i="6"/>
  <c r="E267" i="6"/>
  <c r="D267" i="6"/>
  <c r="C267" i="6"/>
  <c r="G266" i="6"/>
  <c r="F265" i="6"/>
  <c r="E265" i="6"/>
  <c r="G265" i="6" s="1"/>
  <c r="G264" i="6" s="1"/>
  <c r="F264" i="6"/>
  <c r="F262" i="6" s="1"/>
  <c r="E264" i="6"/>
  <c r="E262" i="6" s="1"/>
  <c r="D264" i="6"/>
  <c r="D262" i="6" s="1"/>
  <c r="C264" i="6"/>
  <c r="C262" i="6" s="1"/>
  <c r="G263" i="6"/>
  <c r="G261" i="6"/>
  <c r="G260" i="6"/>
  <c r="G259" i="6"/>
  <c r="F259" i="6"/>
  <c r="E259" i="6"/>
  <c r="D259" i="6"/>
  <c r="C259" i="6"/>
  <c r="G258" i="6"/>
  <c r="F258" i="6"/>
  <c r="E258" i="6"/>
  <c r="D258" i="6"/>
  <c r="C258" i="6"/>
  <c r="D257" i="6"/>
  <c r="G257" i="6" s="1"/>
  <c r="E256" i="6"/>
  <c r="G256" i="6" s="1"/>
  <c r="E255" i="6"/>
  <c r="G255" i="6" s="1"/>
  <c r="G254" i="6"/>
  <c r="G253" i="6"/>
  <c r="G252" i="6"/>
  <c r="G251" i="6"/>
  <c r="G250" i="6"/>
  <c r="G249" i="6"/>
  <c r="G248" i="6"/>
  <c r="G247" i="6"/>
  <c r="G246" i="6"/>
  <c r="G245" i="6"/>
  <c r="G244" i="6"/>
  <c r="F243" i="6"/>
  <c r="E243" i="6"/>
  <c r="D243" i="6"/>
  <c r="C243" i="6"/>
  <c r="G242" i="6"/>
  <c r="E241" i="6"/>
  <c r="F240" i="6"/>
  <c r="F236" i="6" s="1"/>
  <c r="D240" i="6"/>
  <c r="D236" i="6" s="1"/>
  <c r="C240" i="6"/>
  <c r="C236" i="6" s="1"/>
  <c r="G239" i="6"/>
  <c r="G238" i="6"/>
  <c r="G237" i="6"/>
  <c r="F237" i="6"/>
  <c r="E237" i="6"/>
  <c r="D237" i="6"/>
  <c r="C237" i="6"/>
  <c r="G235" i="6"/>
  <c r="G234" i="6"/>
  <c r="G233" i="6"/>
  <c r="G232" i="6"/>
  <c r="E231" i="6"/>
  <c r="G230" i="6"/>
  <c r="G229" i="6"/>
  <c r="G228" i="6"/>
  <c r="F227" i="6"/>
  <c r="D227" i="6"/>
  <c r="C227" i="6"/>
  <c r="G226" i="6"/>
  <c r="G225" i="6"/>
  <c r="E223" i="6"/>
  <c r="G223" i="6" s="1"/>
  <c r="E222" i="6"/>
  <c r="G222" i="6" s="1"/>
  <c r="G221" i="6"/>
  <c r="G220" i="6"/>
  <c r="F219" i="6"/>
  <c r="E219" i="6"/>
  <c r="D219" i="6"/>
  <c r="C219" i="6"/>
  <c r="G218" i="6"/>
  <c r="E217" i="6"/>
  <c r="G217" i="6" s="1"/>
  <c r="F215" i="6"/>
  <c r="E215" i="6"/>
  <c r="D215" i="6"/>
  <c r="C215" i="6"/>
  <c r="G214" i="6"/>
  <c r="G213" i="6"/>
  <c r="F213" i="6"/>
  <c r="E213" i="6"/>
  <c r="D213" i="6"/>
  <c r="C213" i="6"/>
  <c r="D212" i="6"/>
  <c r="G212" i="6" s="1"/>
  <c r="G210" i="6"/>
  <c r="F209" i="6"/>
  <c r="E209" i="6"/>
  <c r="D209" i="6"/>
  <c r="C209" i="6"/>
  <c r="D208" i="6"/>
  <c r="G207" i="6"/>
  <c r="G206" i="6"/>
  <c r="G205" i="6"/>
  <c r="G204" i="6"/>
  <c r="G203" i="6"/>
  <c r="G202" i="6"/>
  <c r="F201" i="6"/>
  <c r="E201" i="6"/>
  <c r="C201" i="6"/>
  <c r="D200" i="6"/>
  <c r="G199" i="6"/>
  <c r="G198" i="6"/>
  <c r="E197" i="6"/>
  <c r="G196" i="6"/>
  <c r="E195" i="6"/>
  <c r="G195" i="6" s="1"/>
  <c r="G194" i="6"/>
  <c r="C193" i="6"/>
  <c r="G190" i="6"/>
  <c r="G188" i="6"/>
  <c r="G187" i="6"/>
  <c r="F187" i="6"/>
  <c r="E187" i="6"/>
  <c r="D187" i="6"/>
  <c r="C187" i="6"/>
  <c r="G186" i="6"/>
  <c r="F186" i="6"/>
  <c r="E186" i="6"/>
  <c r="D186" i="6"/>
  <c r="C186" i="6"/>
  <c r="G185" i="6"/>
  <c r="F184" i="6"/>
  <c r="E184" i="6"/>
  <c r="C184" i="6"/>
  <c r="G184" i="6" s="1"/>
  <c r="F183" i="6"/>
  <c r="E183" i="6"/>
  <c r="C183" i="6"/>
  <c r="G183" i="6" s="1"/>
  <c r="G182" i="6"/>
  <c r="G181" i="6"/>
  <c r="F181" i="6"/>
  <c r="H180" i="6" s="1"/>
  <c r="E181" i="6"/>
  <c r="D181" i="6"/>
  <c r="C181" i="6"/>
  <c r="G180" i="6"/>
  <c r="F179" i="6"/>
  <c r="E179" i="6"/>
  <c r="C179" i="6"/>
  <c r="G179" i="6" s="1"/>
  <c r="G178" i="6" s="1"/>
  <c r="F178" i="6"/>
  <c r="E178" i="6"/>
  <c r="D178" i="6"/>
  <c r="C178" i="6"/>
  <c r="G177" i="6"/>
  <c r="G176" i="6" s="1"/>
  <c r="F176" i="6"/>
  <c r="E176" i="6"/>
  <c r="D176" i="6"/>
  <c r="C176" i="6"/>
  <c r="G175" i="6"/>
  <c r="F174" i="6"/>
  <c r="E174" i="6"/>
  <c r="C174" i="6"/>
  <c r="G173" i="6"/>
  <c r="G172" i="6"/>
  <c r="G171" i="6"/>
  <c r="F171" i="6"/>
  <c r="E171" i="6"/>
  <c r="D171" i="6"/>
  <c r="C171" i="6"/>
  <c r="G169" i="6"/>
  <c r="G168" i="6"/>
  <c r="F168" i="6"/>
  <c r="E168" i="6"/>
  <c r="D168" i="6"/>
  <c r="C168" i="6"/>
  <c r="G167" i="6"/>
  <c r="F166" i="6"/>
  <c r="E166" i="6"/>
  <c r="C166" i="6"/>
  <c r="G166" i="6" s="1"/>
  <c r="G165" i="6" s="1"/>
  <c r="F165" i="6"/>
  <c r="E165" i="6"/>
  <c r="D165" i="6"/>
  <c r="G163" i="6"/>
  <c r="G162" i="6"/>
  <c r="G161" i="6"/>
  <c r="G160" i="6"/>
  <c r="G159" i="6"/>
  <c r="F159" i="6"/>
  <c r="E159" i="6"/>
  <c r="D159" i="6"/>
  <c r="C159" i="6"/>
  <c r="G158" i="6"/>
  <c r="G157" i="6"/>
  <c r="G156" i="6"/>
  <c r="G155" i="6" s="1"/>
  <c r="F155" i="6"/>
  <c r="E155" i="6"/>
  <c r="D155" i="6"/>
  <c r="C155" i="6"/>
  <c r="F154" i="6"/>
  <c r="E154" i="6"/>
  <c r="D154" i="6"/>
  <c r="C154" i="6"/>
  <c r="G153" i="6"/>
  <c r="G152" i="6"/>
  <c r="F152" i="6"/>
  <c r="E152" i="6"/>
  <c r="D152" i="6"/>
  <c r="C152" i="6"/>
  <c r="G151" i="6"/>
  <c r="G150" i="6"/>
  <c r="G149" i="6"/>
  <c r="G148" i="6"/>
  <c r="G147" i="6"/>
  <c r="G146" i="6"/>
  <c r="G145" i="6"/>
  <c r="G144" i="6"/>
  <c r="G141" i="6"/>
  <c r="G140" i="6"/>
  <c r="G139" i="6"/>
  <c r="G138" i="6"/>
  <c r="F138" i="6"/>
  <c r="F137" i="6" s="1"/>
  <c r="G137" i="6" s="1"/>
  <c r="E138" i="6"/>
  <c r="D138" i="6"/>
  <c r="C138" i="6"/>
  <c r="E137" i="6"/>
  <c r="C137" i="6"/>
  <c r="G136" i="6"/>
  <c r="E135" i="6"/>
  <c r="G135" i="6" s="1"/>
  <c r="G134" i="6"/>
  <c r="G133" i="6"/>
  <c r="G132" i="6"/>
  <c r="G131" i="6"/>
  <c r="F130" i="6"/>
  <c r="E130" i="6"/>
  <c r="D130" i="6"/>
  <c r="C130" i="6"/>
  <c r="F129" i="6"/>
  <c r="E128" i="6"/>
  <c r="D128" i="6"/>
  <c r="C128" i="6"/>
  <c r="G127" i="6"/>
  <c r="G126" i="6"/>
  <c r="G125" i="6"/>
  <c r="G124" i="6"/>
  <c r="G123" i="6"/>
  <c r="G122" i="6"/>
  <c r="G121" i="6"/>
  <c r="G119" i="6"/>
  <c r="G118" i="6"/>
  <c r="G116" i="6"/>
  <c r="G115" i="6"/>
  <c r="G114" i="6"/>
  <c r="G113" i="6"/>
  <c r="H115" i="6" s="1"/>
  <c r="G112" i="6"/>
  <c r="G110" i="6"/>
  <c r="G109" i="6" s="1"/>
  <c r="F109" i="6"/>
  <c r="E109" i="6"/>
  <c r="C109" i="6"/>
  <c r="G108" i="6"/>
  <c r="G107" i="6"/>
  <c r="G106" i="6"/>
  <c r="G105" i="6"/>
  <c r="G104" i="6"/>
  <c r="G103" i="6" s="1"/>
  <c r="F103" i="6"/>
  <c r="E103" i="6"/>
  <c r="D103" i="6"/>
  <c r="C103" i="6"/>
  <c r="D102" i="6"/>
  <c r="G101" i="6"/>
  <c r="G100" i="6"/>
  <c r="G88" i="6" s="1"/>
  <c r="G99" i="6"/>
  <c r="G98" i="6"/>
  <c r="G97" i="6"/>
  <c r="G96" i="6"/>
  <c r="G95" i="6"/>
  <c r="G94" i="6"/>
  <c r="G93" i="6"/>
  <c r="G92" i="6"/>
  <c r="G91" i="6"/>
  <c r="G90" i="6"/>
  <c r="G89" i="6"/>
  <c r="F88" i="6"/>
  <c r="E88" i="6"/>
  <c r="D88" i="6"/>
  <c r="C88" i="6"/>
  <c r="G87" i="6"/>
  <c r="G86" i="6"/>
  <c r="G85" i="6"/>
  <c r="G84" i="6"/>
  <c r="G83" i="6"/>
  <c r="G82" i="6"/>
  <c r="G81" i="6"/>
  <c r="G80" i="6"/>
  <c r="G79" i="6"/>
  <c r="G78" i="6"/>
  <c r="G77" i="6"/>
  <c r="G76" i="6"/>
  <c r="G75" i="6"/>
  <c r="G74" i="6"/>
  <c r="G73" i="6"/>
  <c r="F71" i="6"/>
  <c r="E71" i="6"/>
  <c r="D71" i="6"/>
  <c r="C71" i="6"/>
  <c r="G70" i="6"/>
  <c r="G69" i="6"/>
  <c r="E68" i="6"/>
  <c r="G68" i="6" s="1"/>
  <c r="E67" i="6"/>
  <c r="G67" i="6" s="1"/>
  <c r="E66" i="6"/>
  <c r="G66" i="6" s="1"/>
  <c r="G65" i="6" s="1"/>
  <c r="F65" i="6"/>
  <c r="E65" i="6"/>
  <c r="D65" i="6"/>
  <c r="C65" i="6"/>
  <c r="G64" i="6"/>
  <c r="G63" i="6"/>
  <c r="G62" i="6"/>
  <c r="G61" i="6"/>
  <c r="C60" i="6"/>
  <c r="F59" i="6"/>
  <c r="E59" i="6"/>
  <c r="D59" i="6"/>
  <c r="G58" i="6"/>
  <c r="G57" i="6"/>
  <c r="G56" i="6"/>
  <c r="G55" i="6"/>
  <c r="G54" i="6"/>
  <c r="G53" i="6"/>
  <c r="G52" i="6"/>
  <c r="G51" i="6"/>
  <c r="F49" i="6"/>
  <c r="E49" i="6"/>
  <c r="D49" i="6"/>
  <c r="C49" i="6"/>
  <c r="G48" i="6"/>
  <c r="G47" i="6"/>
  <c r="E46" i="6"/>
  <c r="G46" i="6" s="1"/>
  <c r="G45" i="6"/>
  <c r="G44" i="6"/>
  <c r="G43" i="6"/>
  <c r="G42" i="6"/>
  <c r="C41" i="6"/>
  <c r="G41" i="6" s="1"/>
  <c r="G40" i="6"/>
  <c r="G39" i="6" s="1"/>
  <c r="F39" i="6"/>
  <c r="E39" i="6"/>
  <c r="D39" i="6"/>
  <c r="C39" i="6"/>
  <c r="G38" i="6"/>
  <c r="G37" i="6"/>
  <c r="C36" i="6"/>
  <c r="G36" i="6" s="1"/>
  <c r="G35" i="6"/>
  <c r="G34" i="6"/>
  <c r="G33" i="6"/>
  <c r="G32" i="6"/>
  <c r="G31" i="6"/>
  <c r="G30" i="6"/>
  <c r="G29" i="6"/>
  <c r="G28" i="6"/>
  <c r="G27" i="6"/>
  <c r="G26" i="6"/>
  <c r="G25" i="6"/>
  <c r="G24" i="6"/>
  <c r="G23" i="6"/>
  <c r="G22" i="6"/>
  <c r="G21" i="6"/>
  <c r="C20" i="6"/>
  <c r="G20" i="6" s="1"/>
  <c r="C19" i="6"/>
  <c r="G19" i="6" s="1"/>
  <c r="C18" i="6"/>
  <c r="G15" i="6"/>
  <c r="G14" i="6"/>
  <c r="G13" i="6"/>
  <c r="G12" i="6"/>
  <c r="F11" i="6"/>
  <c r="F10" i="6" s="1"/>
  <c r="F9" i="6" s="1"/>
  <c r="E11" i="6"/>
  <c r="C10" i="6"/>
  <c r="C9" i="6" s="1"/>
  <c r="D9" i="6"/>
  <c r="A3" i="6"/>
  <c r="C33" i="12"/>
  <c r="C28" i="12"/>
  <c r="E12" i="12"/>
  <c r="D33" i="19"/>
  <c r="D30" i="19"/>
  <c r="D28" i="19"/>
  <c r="D26" i="19"/>
  <c r="D19" i="19"/>
  <c r="D15" i="19"/>
  <c r="G124" i="7"/>
  <c r="E124" i="7"/>
  <c r="D21" i="8"/>
  <c r="E21" i="8"/>
  <c r="E18" i="8"/>
  <c r="D126" i="7"/>
  <c r="D42" i="19"/>
  <c r="L286" i="6"/>
  <c r="I289" i="6"/>
  <c r="D40" i="19"/>
  <c r="I13" i="6"/>
  <c r="J286" i="6"/>
  <c r="G17" i="17"/>
  <c r="F20" i="17"/>
  <c r="F18" i="17"/>
  <c r="G19" i="18"/>
  <c r="H19" i="18"/>
  <c r="I19" i="18"/>
  <c r="J19" i="18"/>
  <c r="K19" i="18"/>
  <c r="L19" i="18"/>
  <c r="M19" i="18"/>
  <c r="N19" i="18"/>
  <c r="O19" i="18"/>
  <c r="P19" i="18"/>
  <c r="Q19" i="18"/>
  <c r="R19" i="18"/>
  <c r="S19" i="18"/>
  <c r="T19" i="18"/>
  <c r="U19" i="18"/>
  <c r="V19" i="18"/>
  <c r="W19" i="18"/>
  <c r="X19" i="18"/>
  <c r="Y19" i="18"/>
  <c r="Z19" i="18"/>
  <c r="AA19" i="18"/>
  <c r="L43" i="15"/>
  <c r="L42" i="15"/>
  <c r="K42" i="15"/>
  <c r="L64" i="15"/>
  <c r="K12" i="15"/>
  <c r="K62" i="15"/>
  <c r="G9" i="19" l="1"/>
  <c r="H126" i="6"/>
  <c r="H127" i="6" s="1"/>
  <c r="I256" i="6"/>
  <c r="G117" i="6"/>
  <c r="H284" i="6"/>
  <c r="G49" i="6"/>
  <c r="F170" i="6"/>
  <c r="F164" i="6" s="1"/>
  <c r="E142" i="6"/>
  <c r="E16" i="6" s="1"/>
  <c r="D142" i="6"/>
  <c r="E102" i="6"/>
  <c r="C102" i="6"/>
  <c r="J279" i="6"/>
  <c r="G219" i="6"/>
  <c r="G215" i="6"/>
  <c r="G209" i="6"/>
  <c r="G174" i="6"/>
  <c r="G170" i="6" s="1"/>
  <c r="F142" i="6"/>
  <c r="G142" i="6"/>
  <c r="F16" i="6"/>
  <c r="F279" i="6"/>
  <c r="G208" i="6"/>
  <c r="G201" i="6" s="1"/>
  <c r="D201" i="6"/>
  <c r="G60" i="6"/>
  <c r="C59" i="6"/>
  <c r="G262" i="6"/>
  <c r="C192" i="6"/>
  <c r="E170" i="6"/>
  <c r="E164" i="6" s="1"/>
  <c r="D170" i="6"/>
  <c r="D164" i="6" s="1"/>
  <c r="C170" i="6"/>
  <c r="G154" i="6"/>
  <c r="C142" i="6"/>
  <c r="C16" i="6" s="1"/>
  <c r="C8" i="6" s="1"/>
  <c r="C7" i="6" s="1"/>
  <c r="G130" i="6"/>
  <c r="F102" i="6"/>
  <c r="G59" i="6"/>
  <c r="E17" i="6"/>
  <c r="G241" i="6"/>
  <c r="G240" i="6" s="1"/>
  <c r="G236" i="6" s="1"/>
  <c r="E240" i="6"/>
  <c r="E236" i="6" s="1"/>
  <c r="L288" i="6"/>
  <c r="E279" i="6"/>
  <c r="E191" i="6" s="1"/>
  <c r="G231" i="6"/>
  <c r="G227" i="6" s="1"/>
  <c r="E227" i="6"/>
  <c r="G197" i="6"/>
  <c r="G129" i="6"/>
  <c r="G128" i="6" s="1"/>
  <c r="F128" i="6"/>
  <c r="E10" i="6"/>
  <c r="G11" i="6"/>
  <c r="C191" i="6"/>
  <c r="G164" i="6"/>
  <c r="G102" i="6"/>
  <c r="L62" i="15"/>
  <c r="L12" i="15"/>
  <c r="G16" i="6" l="1"/>
  <c r="D16" i="6"/>
  <c r="D8" i="6" s="1"/>
  <c r="D7" i="6" s="1"/>
  <c r="G279" i="6"/>
  <c r="G200" i="6"/>
  <c r="G191" i="6" s="1"/>
  <c r="F191" i="6"/>
  <c r="G10" i="6"/>
  <c r="G9" i="6" s="1"/>
  <c r="E9" i="6"/>
  <c r="E8" i="6" s="1"/>
  <c r="J282" i="6"/>
  <c r="J283" i="6" s="1"/>
  <c r="K60" i="15"/>
  <c r="K10" i="15"/>
  <c r="H283" i="6" l="1"/>
  <c r="E7" i="6"/>
  <c r="AC64" i="18"/>
  <c r="AC63" i="18"/>
  <c r="AC62" i="18"/>
  <c r="AC61" i="18"/>
  <c r="AC60" i="18"/>
  <c r="AC59" i="18"/>
  <c r="AC58" i="18"/>
  <c r="AC57" i="18"/>
  <c r="AC56" i="18"/>
  <c r="AC55" i="18"/>
  <c r="AC54" i="18"/>
  <c r="AC53" i="18"/>
  <c r="AC52" i="18"/>
  <c r="AC51" i="18"/>
  <c r="AC50" i="18"/>
  <c r="AC49" i="18"/>
  <c r="AC48" i="18"/>
  <c r="E48" i="18"/>
  <c r="D48" i="18"/>
  <c r="E47" i="18"/>
  <c r="AC47" i="18" s="1"/>
  <c r="E46" i="18"/>
  <c r="AC46" i="18" s="1"/>
  <c r="E45" i="18"/>
  <c r="AC45" i="18" s="1"/>
  <c r="E44" i="18"/>
  <c r="AC44" i="18" s="1"/>
  <c r="E43" i="18"/>
  <c r="AC43" i="18" s="1"/>
  <c r="E42" i="18"/>
  <c r="AC42" i="18" s="1"/>
  <c r="E41" i="18"/>
  <c r="AC41" i="18" s="1"/>
  <c r="E40" i="18"/>
  <c r="AC40" i="18" s="1"/>
  <c r="E39" i="18"/>
  <c r="AC39" i="18" s="1"/>
  <c r="E38" i="18"/>
  <c r="AC38" i="18" s="1"/>
  <c r="E37" i="18"/>
  <c r="AC37" i="18" s="1"/>
  <c r="E36" i="18"/>
  <c r="AC36" i="18" s="1"/>
  <c r="E35" i="18"/>
  <c r="AC35" i="18" s="1"/>
  <c r="E34" i="18"/>
  <c r="AC34" i="18" s="1"/>
  <c r="E33" i="18"/>
  <c r="AC33" i="18" s="1"/>
  <c r="E32" i="18"/>
  <c r="AC32" i="18" s="1"/>
  <c r="E31" i="18"/>
  <c r="AC31" i="18" s="1"/>
  <c r="E30" i="18"/>
  <c r="AC30" i="18" s="1"/>
  <c r="E29" i="18"/>
  <c r="D28" i="18"/>
  <c r="AA27" i="18"/>
  <c r="Z27" i="18"/>
  <c r="Y27" i="18"/>
  <c r="X27" i="18"/>
  <c r="W27" i="18"/>
  <c r="V27" i="18"/>
  <c r="U27" i="18"/>
  <c r="T27" i="18"/>
  <c r="S27" i="18"/>
  <c r="R27" i="18"/>
  <c r="Q27" i="18"/>
  <c r="P27" i="18"/>
  <c r="O27" i="18"/>
  <c r="N27" i="18"/>
  <c r="M27" i="18"/>
  <c r="L27" i="18"/>
  <c r="K27" i="18"/>
  <c r="J27" i="18"/>
  <c r="I27" i="18"/>
  <c r="H27" i="18"/>
  <c r="G27" i="18"/>
  <c r="E27" i="18"/>
  <c r="AC27" i="18" s="1"/>
  <c r="AA26" i="18"/>
  <c r="Z26" i="18"/>
  <c r="Y26" i="18"/>
  <c r="X26" i="18"/>
  <c r="W26" i="18"/>
  <c r="V26" i="18"/>
  <c r="U26" i="18"/>
  <c r="T26" i="18"/>
  <c r="S26" i="18"/>
  <c r="R26" i="18"/>
  <c r="Q26" i="18"/>
  <c r="P26" i="18"/>
  <c r="O26" i="18"/>
  <c r="N26" i="18"/>
  <c r="M26" i="18"/>
  <c r="L26" i="18"/>
  <c r="K26" i="18"/>
  <c r="J26" i="18"/>
  <c r="I26" i="18"/>
  <c r="H26" i="18"/>
  <c r="G26" i="18"/>
  <c r="E26" i="18"/>
  <c r="AC26" i="18" s="1"/>
  <c r="AA25" i="18"/>
  <c r="Z25" i="18"/>
  <c r="Y25" i="18"/>
  <c r="X25" i="18"/>
  <c r="W25" i="18"/>
  <c r="V25" i="18"/>
  <c r="U25" i="18"/>
  <c r="T25" i="18"/>
  <c r="S25" i="18"/>
  <c r="R25" i="18"/>
  <c r="Q25" i="18"/>
  <c r="P25" i="18"/>
  <c r="O25" i="18"/>
  <c r="N25" i="18"/>
  <c r="M25" i="18"/>
  <c r="L25" i="18"/>
  <c r="K25" i="18"/>
  <c r="J25" i="18"/>
  <c r="I25" i="18"/>
  <c r="H25" i="18"/>
  <c r="G25" i="18"/>
  <c r="E25" i="18"/>
  <c r="AC25" i="18" s="1"/>
  <c r="AA24" i="18"/>
  <c r="Z24" i="18"/>
  <c r="Y24" i="18"/>
  <c r="X24" i="18"/>
  <c r="W24" i="18"/>
  <c r="V24" i="18"/>
  <c r="U24" i="18"/>
  <c r="T24" i="18"/>
  <c r="S24" i="18"/>
  <c r="R24" i="18"/>
  <c r="Q24" i="18"/>
  <c r="P24" i="18"/>
  <c r="O24" i="18"/>
  <c r="N24" i="18"/>
  <c r="M24" i="18"/>
  <c r="L24" i="18"/>
  <c r="K24" i="18"/>
  <c r="J24" i="18"/>
  <c r="I24" i="18"/>
  <c r="H24" i="18"/>
  <c r="G24" i="18"/>
  <c r="E24" i="18"/>
  <c r="AC24" i="18" s="1"/>
  <c r="AA23" i="18"/>
  <c r="Z23" i="18"/>
  <c r="Y23" i="18"/>
  <c r="X23" i="18"/>
  <c r="W23" i="18"/>
  <c r="V23" i="18"/>
  <c r="U23" i="18"/>
  <c r="T23" i="18"/>
  <c r="S23" i="18"/>
  <c r="R23" i="18"/>
  <c r="Q23" i="18"/>
  <c r="P23" i="18"/>
  <c r="O23" i="18"/>
  <c r="N23" i="18"/>
  <c r="M23" i="18"/>
  <c r="L23" i="18"/>
  <c r="K23" i="18"/>
  <c r="J23" i="18"/>
  <c r="I23" i="18"/>
  <c r="H23" i="18"/>
  <c r="G23" i="18"/>
  <c r="E23" i="18"/>
  <c r="AC23" i="18" s="1"/>
  <c r="AA22" i="18"/>
  <c r="Z22" i="18"/>
  <c r="Y22" i="18"/>
  <c r="X22" i="18"/>
  <c r="W22" i="18"/>
  <c r="V22" i="18"/>
  <c r="U22" i="18"/>
  <c r="T22" i="18"/>
  <c r="S22" i="18"/>
  <c r="R22" i="18"/>
  <c r="Q22" i="18"/>
  <c r="P22" i="18"/>
  <c r="O22" i="18"/>
  <c r="N22" i="18"/>
  <c r="M22" i="18"/>
  <c r="L22" i="18"/>
  <c r="K22" i="18"/>
  <c r="J22" i="18"/>
  <c r="I22" i="18"/>
  <c r="H22" i="18"/>
  <c r="G22" i="18"/>
  <c r="E22" i="18"/>
  <c r="AC22" i="18" s="1"/>
  <c r="AA21" i="18"/>
  <c r="Z21" i="18"/>
  <c r="Y21" i="18"/>
  <c r="X21" i="18"/>
  <c r="W21" i="18"/>
  <c r="V21" i="18"/>
  <c r="U21" i="18"/>
  <c r="T21" i="18"/>
  <c r="S21" i="18"/>
  <c r="R21" i="18"/>
  <c r="Q21" i="18"/>
  <c r="P21" i="18"/>
  <c r="O21" i="18"/>
  <c r="N21" i="18"/>
  <c r="M21" i="18"/>
  <c r="L21" i="18"/>
  <c r="K21" i="18"/>
  <c r="J21" i="18"/>
  <c r="I21" i="18"/>
  <c r="H21" i="18"/>
  <c r="G21" i="18"/>
  <c r="E21" i="18"/>
  <c r="AC21" i="18" s="1"/>
  <c r="AA20" i="18"/>
  <c r="Z20" i="18"/>
  <c r="Y20" i="18"/>
  <c r="X20" i="18"/>
  <c r="W20" i="18"/>
  <c r="V20" i="18"/>
  <c r="U20" i="18"/>
  <c r="T20" i="18"/>
  <c r="S20" i="18"/>
  <c r="R20" i="18"/>
  <c r="Q20" i="18"/>
  <c r="P20" i="18"/>
  <c r="O20" i="18"/>
  <c r="N20" i="18"/>
  <c r="M20" i="18"/>
  <c r="L20" i="18"/>
  <c r="K20" i="18"/>
  <c r="J20" i="18"/>
  <c r="I20" i="18"/>
  <c r="H20" i="18"/>
  <c r="G20" i="18"/>
  <c r="E20" i="18"/>
  <c r="AC20" i="18" s="1"/>
  <c r="E19" i="18"/>
  <c r="AC19" i="18" s="1"/>
  <c r="AA18" i="18"/>
  <c r="Z18" i="18"/>
  <c r="Y18" i="18"/>
  <c r="X18" i="18"/>
  <c r="W18" i="18"/>
  <c r="V18" i="18"/>
  <c r="U18" i="18"/>
  <c r="T18" i="18"/>
  <c r="S18" i="18"/>
  <c r="R18" i="18"/>
  <c r="Q18" i="18"/>
  <c r="P18" i="18"/>
  <c r="O18" i="18"/>
  <c r="N18" i="18"/>
  <c r="M18" i="18"/>
  <c r="L18" i="18"/>
  <c r="K18" i="18"/>
  <c r="J18" i="18"/>
  <c r="I18" i="18"/>
  <c r="H18" i="18"/>
  <c r="G18" i="18"/>
  <c r="E18" i="18"/>
  <c r="AC18" i="18" s="1"/>
  <c r="AA17" i="18"/>
  <c r="Z17" i="18"/>
  <c r="Y17" i="18"/>
  <c r="X17" i="18"/>
  <c r="W17" i="18"/>
  <c r="V17" i="18"/>
  <c r="U17" i="18"/>
  <c r="T17" i="18"/>
  <c r="S17" i="18"/>
  <c r="R17" i="18"/>
  <c r="Q17" i="18"/>
  <c r="P17" i="18"/>
  <c r="O17" i="18"/>
  <c r="N17" i="18"/>
  <c r="M17" i="18"/>
  <c r="L17" i="18"/>
  <c r="K17" i="18"/>
  <c r="J17" i="18"/>
  <c r="I17" i="18"/>
  <c r="H17" i="18"/>
  <c r="G17" i="18"/>
  <c r="E17" i="18"/>
  <c r="AC17" i="18" s="1"/>
  <c r="AA16" i="18"/>
  <c r="Z16" i="18"/>
  <c r="Y16" i="18"/>
  <c r="X16" i="18"/>
  <c r="W16" i="18"/>
  <c r="V16" i="18"/>
  <c r="U16" i="18"/>
  <c r="T16" i="18"/>
  <c r="S16" i="18"/>
  <c r="R16" i="18"/>
  <c r="Q16" i="18"/>
  <c r="P16" i="18"/>
  <c r="O16" i="18"/>
  <c r="N16" i="18"/>
  <c r="M16" i="18"/>
  <c r="L16" i="18"/>
  <c r="K16" i="18"/>
  <c r="J16" i="18"/>
  <c r="I16" i="18"/>
  <c r="H16" i="18"/>
  <c r="G16" i="18"/>
  <c r="E16" i="18"/>
  <c r="AC16" i="18" s="1"/>
  <c r="AA15" i="18"/>
  <c r="Z15" i="18"/>
  <c r="Y15" i="18"/>
  <c r="X15" i="18"/>
  <c r="W15" i="18"/>
  <c r="V15" i="18"/>
  <c r="U15" i="18"/>
  <c r="T15" i="18"/>
  <c r="S15" i="18"/>
  <c r="R15" i="18"/>
  <c r="Q15" i="18"/>
  <c r="P15" i="18"/>
  <c r="O15" i="18"/>
  <c r="N15" i="18"/>
  <c r="M15" i="18"/>
  <c r="L15" i="18"/>
  <c r="K15" i="18"/>
  <c r="J15" i="18"/>
  <c r="I15" i="18"/>
  <c r="H15" i="18"/>
  <c r="G15" i="18"/>
  <c r="E15" i="18"/>
  <c r="AC15" i="18" s="1"/>
  <c r="AA14" i="18"/>
  <c r="Z14" i="18"/>
  <c r="Y14" i="18"/>
  <c r="X14" i="18"/>
  <c r="W14" i="18"/>
  <c r="V14" i="18"/>
  <c r="U14" i="18"/>
  <c r="T14" i="18"/>
  <c r="S14" i="18"/>
  <c r="R14" i="18"/>
  <c r="Q14" i="18"/>
  <c r="P14" i="18"/>
  <c r="O14" i="18"/>
  <c r="N14" i="18"/>
  <c r="M14" i="18"/>
  <c r="L14" i="18"/>
  <c r="K14" i="18"/>
  <c r="J14" i="18"/>
  <c r="I14" i="18"/>
  <c r="H14" i="18"/>
  <c r="G14" i="18"/>
  <c r="E14" i="18"/>
  <c r="AC14" i="18" s="1"/>
  <c r="AA13" i="18"/>
  <c r="Z13" i="18"/>
  <c r="Y13" i="18"/>
  <c r="X13" i="18"/>
  <c r="W13" i="18"/>
  <c r="V13" i="18"/>
  <c r="U13" i="18"/>
  <c r="T13" i="18"/>
  <c r="S13" i="18"/>
  <c r="R13" i="18"/>
  <c r="Q13" i="18"/>
  <c r="P13" i="18"/>
  <c r="O13" i="18"/>
  <c r="N13" i="18"/>
  <c r="M13" i="18"/>
  <c r="L13" i="18"/>
  <c r="K13" i="18"/>
  <c r="J13" i="18"/>
  <c r="I13" i="18"/>
  <c r="H13" i="18"/>
  <c r="G13" i="18"/>
  <c r="E13" i="18"/>
  <c r="AC13" i="18" s="1"/>
  <c r="AA12" i="18"/>
  <c r="Z12" i="18"/>
  <c r="Y12" i="18"/>
  <c r="X12" i="18"/>
  <c r="W12" i="18"/>
  <c r="V12" i="18"/>
  <c r="U12" i="18"/>
  <c r="T12" i="18"/>
  <c r="S12" i="18"/>
  <c r="R12" i="18"/>
  <c r="Q12" i="18"/>
  <c r="P12" i="18"/>
  <c r="O12" i="18"/>
  <c r="N12" i="18"/>
  <c r="M12" i="18"/>
  <c r="L12" i="18"/>
  <c r="K12" i="18"/>
  <c r="J12" i="18"/>
  <c r="I12" i="18"/>
  <c r="H12" i="18"/>
  <c r="G12" i="18"/>
  <c r="E12" i="18"/>
  <c r="AC12" i="18" s="1"/>
  <c r="AA11" i="18"/>
  <c r="AA9" i="18" s="1"/>
  <c r="AA8" i="18" s="1"/>
  <c r="Z11" i="18"/>
  <c r="Y11" i="18"/>
  <c r="X11" i="18"/>
  <c r="X9" i="18" s="1"/>
  <c r="X8" i="18" s="1"/>
  <c r="W11" i="18"/>
  <c r="V11" i="18"/>
  <c r="U11" i="18"/>
  <c r="T11" i="18"/>
  <c r="S11" i="18"/>
  <c r="R11" i="18"/>
  <c r="Q11" i="18"/>
  <c r="Q9" i="18" s="1"/>
  <c r="Q8" i="18" s="1"/>
  <c r="P11" i="18"/>
  <c r="O11" i="18"/>
  <c r="N11" i="18"/>
  <c r="M11" i="18"/>
  <c r="L11" i="18"/>
  <c r="L9" i="18" s="1"/>
  <c r="L8" i="18" s="1"/>
  <c r="K11" i="18"/>
  <c r="J11" i="18"/>
  <c r="J9" i="18" s="1"/>
  <c r="J8" i="18" s="1"/>
  <c r="I11" i="18"/>
  <c r="I9" i="18" s="1"/>
  <c r="I8" i="18" s="1"/>
  <c r="H11" i="18"/>
  <c r="H9" i="18" s="1"/>
  <c r="H8" i="18" s="1"/>
  <c r="G11" i="18"/>
  <c r="G9" i="18" s="1"/>
  <c r="G8" i="18" s="1"/>
  <c r="E11" i="18"/>
  <c r="Z10" i="18"/>
  <c r="Z9" i="18" s="1"/>
  <c r="Z8" i="18" s="1"/>
  <c r="V10" i="18"/>
  <c r="U10" i="18"/>
  <c r="T10" i="18"/>
  <c r="S10" i="18"/>
  <c r="R10" i="18"/>
  <c r="Y10" i="18" s="1"/>
  <c r="Y9" i="18" s="1"/>
  <c r="N10" i="18"/>
  <c r="M10" i="18"/>
  <c r="O10" i="18" s="1"/>
  <c r="K10" i="18"/>
  <c r="K9" i="18" s="1"/>
  <c r="K8" i="18" s="1"/>
  <c r="E10" i="18"/>
  <c r="AC10" i="18" s="1"/>
  <c r="V9" i="18"/>
  <c r="T9" i="18"/>
  <c r="R9" i="18"/>
  <c r="N9" i="18"/>
  <c r="M9" i="18"/>
  <c r="D9" i="18"/>
  <c r="A9" i="18"/>
  <c r="V8" i="18"/>
  <c r="T8" i="18"/>
  <c r="R8" i="18"/>
  <c r="N8" i="18"/>
  <c r="M8" i="18"/>
  <c r="E20" i="8"/>
  <c r="E117" i="7"/>
  <c r="E19" i="12"/>
  <c r="D15" i="8"/>
  <c r="D17" i="8"/>
  <c r="E125" i="7"/>
  <c r="D125" i="7"/>
  <c r="H182" i="6"/>
  <c r="H16" i="6"/>
  <c r="H64" i="6"/>
  <c r="I7" i="6" l="1"/>
  <c r="H186" i="6"/>
  <c r="I186" i="6"/>
  <c r="S9" i="18"/>
  <c r="S8" i="18" s="1"/>
  <c r="U9" i="18"/>
  <c r="U8" i="18" s="1"/>
  <c r="AC11" i="18"/>
  <c r="AC9" i="18" s="1"/>
  <c r="AE8" i="18" s="1"/>
  <c r="E9" i="18"/>
  <c r="E28" i="18"/>
  <c r="AC29" i="18"/>
  <c r="AC28" i="18" s="1"/>
  <c r="Y8" i="18"/>
  <c r="W10" i="18"/>
  <c r="W9" i="18" s="1"/>
  <c r="W8" i="18" s="1"/>
  <c r="O9" i="18"/>
  <c r="O8" i="18" s="1"/>
  <c r="P10" i="18"/>
  <c r="P9" i="18" s="1"/>
  <c r="E126" i="7"/>
  <c r="D16" i="8"/>
  <c r="H65" i="6"/>
  <c r="H264" i="6" l="1"/>
  <c r="H269" i="6"/>
  <c r="H231" i="6"/>
  <c r="H15" i="6"/>
  <c r="AC8" i="18"/>
  <c r="AF8" i="18"/>
  <c r="P8" i="18"/>
  <c r="Y6" i="18"/>
  <c r="D14" i="8"/>
  <c r="H108" i="6"/>
  <c r="H187" i="6" l="1"/>
  <c r="H188" i="6" s="1"/>
  <c r="H21" i="6"/>
  <c r="H23" i="6" s="1"/>
  <c r="C9" i="12"/>
  <c r="A3" i="15"/>
  <c r="K72" i="15"/>
  <c r="K71" i="15" s="1"/>
  <c r="J71" i="15"/>
  <c r="H71" i="15"/>
  <c r="G71" i="15"/>
  <c r="J70" i="15"/>
  <c r="K70" i="15" s="1"/>
  <c r="K69" i="15"/>
  <c r="K68" i="15"/>
  <c r="K67" i="15"/>
  <c r="K66" i="15"/>
  <c r="K65" i="15"/>
  <c r="K39" i="15"/>
  <c r="K64" i="15"/>
  <c r="K63" i="15"/>
  <c r="I62" i="15"/>
  <c r="H62" i="15"/>
  <c r="G62" i="15"/>
  <c r="K61" i="15"/>
  <c r="K59" i="15"/>
  <c r="K58" i="15"/>
  <c r="K57" i="15"/>
  <c r="K56" i="15"/>
  <c r="K55" i="15"/>
  <c r="K54" i="15"/>
  <c r="K53" i="15"/>
  <c r="K52" i="15"/>
  <c r="K51" i="15"/>
  <c r="K50" i="15"/>
  <c r="K49" i="15"/>
  <c r="K46" i="15"/>
  <c r="K45" i="15"/>
  <c r="K44" i="15"/>
  <c r="K43" i="15"/>
  <c r="I42" i="15"/>
  <c r="H42" i="15"/>
  <c r="H41" i="15" s="1"/>
  <c r="G42" i="15"/>
  <c r="G41" i="15" s="1"/>
  <c r="K40" i="15"/>
  <c r="K38" i="15"/>
  <c r="K37" i="15"/>
  <c r="K36" i="15"/>
  <c r="F36" i="15"/>
  <c r="K35" i="15"/>
  <c r="J34" i="15"/>
  <c r="K34" i="15" s="1"/>
  <c r="F34" i="15"/>
  <c r="K33" i="15"/>
  <c r="K32" i="15"/>
  <c r="K31" i="15"/>
  <c r="K30" i="15"/>
  <c r="K29" i="15"/>
  <c r="J28" i="15"/>
  <c r="K28" i="15" s="1"/>
  <c r="F28" i="15"/>
  <c r="K27" i="15"/>
  <c r="K26" i="15"/>
  <c r="K25" i="15"/>
  <c r="K24" i="15"/>
  <c r="K48" i="15"/>
  <c r="J47" i="15"/>
  <c r="F47" i="15"/>
  <c r="K22" i="15"/>
  <c r="K21" i="15"/>
  <c r="K20" i="15"/>
  <c r="K19" i="15"/>
  <c r="K18" i="15"/>
  <c r="K17" i="15"/>
  <c r="K16" i="15"/>
  <c r="J15" i="15"/>
  <c r="K15" i="15" s="1"/>
  <c r="F15" i="15"/>
  <c r="K14" i="15"/>
  <c r="K13" i="15"/>
  <c r="I12" i="15"/>
  <c r="H12" i="15"/>
  <c r="G12" i="15"/>
  <c r="K11" i="15"/>
  <c r="K9" i="15" s="1"/>
  <c r="J9" i="15"/>
  <c r="I9" i="15"/>
  <c r="H9" i="15"/>
  <c r="G9" i="15"/>
  <c r="F9" i="15"/>
  <c r="A3" i="13"/>
  <c r="H186" i="13"/>
  <c r="H185" i="13"/>
  <c r="H184" i="13"/>
  <c r="G183" i="13"/>
  <c r="H183" i="13" s="1"/>
  <c r="L182" i="13"/>
  <c r="H182" i="13"/>
  <c r="L181" i="13"/>
  <c r="H181" i="13"/>
  <c r="L180" i="13"/>
  <c r="H180" i="13"/>
  <c r="H179" i="13"/>
  <c r="N179" i="13" s="1"/>
  <c r="H178" i="13"/>
  <c r="M178" i="13" s="1"/>
  <c r="S177" i="13"/>
  <c r="R177" i="13"/>
  <c r="Q177" i="13"/>
  <c r="P177" i="13"/>
  <c r="O177" i="13"/>
  <c r="K177" i="13"/>
  <c r="J177" i="13"/>
  <c r="I177" i="13"/>
  <c r="G177" i="13"/>
  <c r="F177" i="13"/>
  <c r="E177" i="13"/>
  <c r="H176" i="13"/>
  <c r="M176" i="13" s="1"/>
  <c r="L176" i="13" s="1"/>
  <c r="H175" i="13"/>
  <c r="M175" i="13" s="1"/>
  <c r="L175" i="13" s="1"/>
  <c r="H174" i="13"/>
  <c r="M174" i="13" s="1"/>
  <c r="L174" i="13" s="1"/>
  <c r="L173" i="13"/>
  <c r="H173" i="13"/>
  <c r="L172" i="13"/>
  <c r="H172" i="13"/>
  <c r="L171" i="13"/>
  <c r="H171" i="13"/>
  <c r="L170" i="13"/>
  <c r="H170" i="13"/>
  <c r="H169" i="13"/>
  <c r="N169" i="13" s="1"/>
  <c r="H168" i="13"/>
  <c r="M168" i="13" s="1"/>
  <c r="L168" i="13" s="1"/>
  <c r="H167" i="13"/>
  <c r="M167" i="13" s="1"/>
  <c r="L167" i="13" s="1"/>
  <c r="H166" i="13"/>
  <c r="M166" i="13" s="1"/>
  <c r="L166" i="13" s="1"/>
  <c r="H165" i="13"/>
  <c r="M165" i="13" s="1"/>
  <c r="S164" i="13"/>
  <c r="R164" i="13"/>
  <c r="Q164" i="13"/>
  <c r="P164" i="13"/>
  <c r="O164" i="13"/>
  <c r="K164" i="13"/>
  <c r="J164" i="13"/>
  <c r="I164" i="13"/>
  <c r="H164" i="13"/>
  <c r="G164" i="13"/>
  <c r="F164" i="13"/>
  <c r="E164" i="13"/>
  <c r="L163" i="13"/>
  <c r="H163" i="13"/>
  <c r="H162" i="13"/>
  <c r="M162" i="13" s="1"/>
  <c r="L162" i="13" s="1"/>
  <c r="L161" i="13"/>
  <c r="H161" i="13"/>
  <c r="H160" i="13"/>
  <c r="M160" i="13" s="1"/>
  <c r="L160" i="13" s="1"/>
  <c r="H159" i="13"/>
  <c r="N159" i="13" s="1"/>
  <c r="H158" i="13"/>
  <c r="M158" i="13" s="1"/>
  <c r="L158" i="13" s="1"/>
  <c r="H157" i="13"/>
  <c r="M157" i="13" s="1"/>
  <c r="L157" i="13" s="1"/>
  <c r="H156" i="13"/>
  <c r="M156" i="13" s="1"/>
  <c r="L156" i="13" s="1"/>
  <c r="H155" i="13"/>
  <c r="M155" i="13" s="1"/>
  <c r="S154" i="13"/>
  <c r="R154" i="13"/>
  <c r="Q154" i="13"/>
  <c r="P154" i="13"/>
  <c r="O154" i="13"/>
  <c r="K154" i="13"/>
  <c r="J154" i="13"/>
  <c r="I154" i="13"/>
  <c r="G154" i="13"/>
  <c r="F154" i="13"/>
  <c r="E154" i="13"/>
  <c r="L153" i="13"/>
  <c r="H153" i="13"/>
  <c r="L152" i="13"/>
  <c r="H152" i="13"/>
  <c r="H151" i="13"/>
  <c r="M151" i="13" s="1"/>
  <c r="L151" i="13" s="1"/>
  <c r="H150" i="13"/>
  <c r="M150" i="13" s="1"/>
  <c r="L150" i="13" s="1"/>
  <c r="L149" i="13"/>
  <c r="H149" i="13"/>
  <c r="L148" i="13"/>
  <c r="H148" i="13"/>
  <c r="H147" i="13"/>
  <c r="N147" i="13" s="1"/>
  <c r="H146" i="13"/>
  <c r="M146" i="13" s="1"/>
  <c r="L146" i="13" s="1"/>
  <c r="H145" i="13"/>
  <c r="H144" i="13"/>
  <c r="H143" i="13"/>
  <c r="L142" i="13"/>
  <c r="H142" i="13"/>
  <c r="H141" i="13"/>
  <c r="M141" i="13" s="1"/>
  <c r="L140" i="13"/>
  <c r="H140" i="13"/>
  <c r="L139" i="13"/>
  <c r="H139" i="13"/>
  <c r="L138" i="13"/>
  <c r="H138" i="13"/>
  <c r="L137" i="13"/>
  <c r="H137" i="13"/>
  <c r="L136" i="13"/>
  <c r="H136" i="13"/>
  <c r="L135" i="13"/>
  <c r="H135" i="13"/>
  <c r="L134" i="13"/>
  <c r="H134" i="13"/>
  <c r="L133" i="13"/>
  <c r="H133" i="13"/>
  <c r="L132" i="13"/>
  <c r="H132" i="13"/>
  <c r="S131" i="13"/>
  <c r="R131" i="13"/>
  <c r="Q131" i="13"/>
  <c r="P131" i="13"/>
  <c r="O131" i="13"/>
  <c r="K131" i="13"/>
  <c r="J131" i="13"/>
  <c r="I131" i="13"/>
  <c r="G131" i="13"/>
  <c r="F131" i="13"/>
  <c r="E131" i="13"/>
  <c r="H129" i="13"/>
  <c r="M129" i="13" s="1"/>
  <c r="L129" i="13" s="1"/>
  <c r="H128" i="13"/>
  <c r="M128" i="13" s="1"/>
  <c r="L128" i="13" s="1"/>
  <c r="H127" i="13"/>
  <c r="M127" i="13" s="1"/>
  <c r="H126" i="13"/>
  <c r="N126" i="13" s="1"/>
  <c r="S125" i="13"/>
  <c r="S124" i="13" s="1"/>
  <c r="R125" i="13"/>
  <c r="Q125" i="13"/>
  <c r="Q124" i="13" s="1"/>
  <c r="P125" i="13"/>
  <c r="O125" i="13"/>
  <c r="O124" i="13" s="1"/>
  <c r="K125" i="13"/>
  <c r="J125" i="13"/>
  <c r="J124" i="13" s="1"/>
  <c r="I125" i="13"/>
  <c r="G125" i="13"/>
  <c r="F125" i="13"/>
  <c r="E125" i="13"/>
  <c r="R124" i="13"/>
  <c r="P124" i="13"/>
  <c r="K124" i="13"/>
  <c r="I124" i="13"/>
  <c r="G124" i="13"/>
  <c r="F124" i="13"/>
  <c r="E124" i="13"/>
  <c r="L123" i="13"/>
  <c r="H123" i="13"/>
  <c r="H122" i="13"/>
  <c r="N122" i="13" s="1"/>
  <c r="E120" i="13"/>
  <c r="H120" i="13" s="1"/>
  <c r="S119" i="13"/>
  <c r="R119" i="13"/>
  <c r="Q119" i="13"/>
  <c r="P119" i="13"/>
  <c r="O119" i="13"/>
  <c r="K119" i="13"/>
  <c r="J119" i="13"/>
  <c r="I119" i="13"/>
  <c r="G119" i="13"/>
  <c r="F119" i="13"/>
  <c r="H118" i="13"/>
  <c r="M118" i="13" s="1"/>
  <c r="L118" i="13" s="1"/>
  <c r="E117" i="13"/>
  <c r="H117" i="13" s="1"/>
  <c r="M117" i="13" s="1"/>
  <c r="L117" i="13" s="1"/>
  <c r="H116" i="13"/>
  <c r="N116" i="13" s="1"/>
  <c r="E115" i="13"/>
  <c r="H115" i="13" s="1"/>
  <c r="S114" i="13"/>
  <c r="R114" i="13"/>
  <c r="Q114" i="13"/>
  <c r="P114" i="13"/>
  <c r="O114" i="13"/>
  <c r="K114" i="13"/>
  <c r="J114" i="13"/>
  <c r="I114" i="13"/>
  <c r="G114" i="13"/>
  <c r="F114" i="13"/>
  <c r="L113" i="13"/>
  <c r="H113" i="13"/>
  <c r="E112" i="13"/>
  <c r="H112" i="13" s="1"/>
  <c r="M112" i="13" s="1"/>
  <c r="L112" i="13" s="1"/>
  <c r="H111" i="13"/>
  <c r="N111" i="13" s="1"/>
  <c r="E110" i="13"/>
  <c r="H110" i="13" s="1"/>
  <c r="S109" i="13"/>
  <c r="R109" i="13"/>
  <c r="Q109" i="13"/>
  <c r="P109" i="13"/>
  <c r="O109" i="13"/>
  <c r="K109" i="13"/>
  <c r="J109" i="13"/>
  <c r="I109" i="13"/>
  <c r="G109" i="13"/>
  <c r="F109" i="13"/>
  <c r="L108" i="13"/>
  <c r="H108" i="13"/>
  <c r="E107" i="13"/>
  <c r="H107" i="13" s="1"/>
  <c r="M107" i="13" s="1"/>
  <c r="L107" i="13" s="1"/>
  <c r="H106" i="13"/>
  <c r="N106" i="13" s="1"/>
  <c r="E105" i="13"/>
  <c r="S104" i="13"/>
  <c r="R104" i="13"/>
  <c r="Q104" i="13"/>
  <c r="P104" i="13"/>
  <c r="O104" i="13"/>
  <c r="K104" i="13"/>
  <c r="J104" i="13"/>
  <c r="I104" i="13"/>
  <c r="G104" i="13"/>
  <c r="F104" i="13"/>
  <c r="L103" i="13"/>
  <c r="H103" i="13"/>
  <c r="E102" i="13"/>
  <c r="H102" i="13" s="1"/>
  <c r="M102" i="13" s="1"/>
  <c r="L102" i="13" s="1"/>
  <c r="H101" i="13"/>
  <c r="N101" i="13" s="1"/>
  <c r="E100" i="13"/>
  <c r="S99" i="13"/>
  <c r="R99" i="13"/>
  <c r="Q99" i="13"/>
  <c r="P99" i="13"/>
  <c r="O99" i="13"/>
  <c r="K99" i="13"/>
  <c r="J99" i="13"/>
  <c r="I99" i="13"/>
  <c r="G99" i="13"/>
  <c r="F99" i="13"/>
  <c r="H98" i="13"/>
  <c r="M98" i="13" s="1"/>
  <c r="L98" i="13" s="1"/>
  <c r="E97" i="13"/>
  <c r="H97" i="13" s="1"/>
  <c r="M97" i="13" s="1"/>
  <c r="L97" i="13" s="1"/>
  <c r="H96" i="13"/>
  <c r="N96" i="13" s="1"/>
  <c r="E95" i="13"/>
  <c r="H95" i="13" s="1"/>
  <c r="S94" i="13"/>
  <c r="R94" i="13"/>
  <c r="Q94" i="13"/>
  <c r="P94" i="13"/>
  <c r="O94" i="13"/>
  <c r="K94" i="13"/>
  <c r="J94" i="13"/>
  <c r="I94" i="13"/>
  <c r="G94" i="13"/>
  <c r="F94" i="13"/>
  <c r="E94" i="13"/>
  <c r="H93" i="13"/>
  <c r="M93" i="13" s="1"/>
  <c r="L93" i="13" s="1"/>
  <c r="E92" i="13"/>
  <c r="H92" i="13" s="1"/>
  <c r="M92" i="13" s="1"/>
  <c r="L92" i="13" s="1"/>
  <c r="H91" i="13"/>
  <c r="N91" i="13" s="1"/>
  <c r="E90" i="13"/>
  <c r="H90" i="13" s="1"/>
  <c r="S89" i="13"/>
  <c r="R89" i="13"/>
  <c r="Q89" i="13"/>
  <c r="P89" i="13"/>
  <c r="O89" i="13"/>
  <c r="K89" i="13"/>
  <c r="J89" i="13"/>
  <c r="I89" i="13"/>
  <c r="G89" i="13"/>
  <c r="F89" i="13"/>
  <c r="H88" i="13"/>
  <c r="M88" i="13" s="1"/>
  <c r="L88" i="13" s="1"/>
  <c r="E87" i="13"/>
  <c r="H87" i="13" s="1"/>
  <c r="M87" i="13" s="1"/>
  <c r="L87" i="13" s="1"/>
  <c r="H86" i="13"/>
  <c r="N86" i="13" s="1"/>
  <c r="E85" i="13"/>
  <c r="H85" i="13" s="1"/>
  <c r="S84" i="13"/>
  <c r="R84" i="13"/>
  <c r="Q84" i="13"/>
  <c r="P84" i="13"/>
  <c r="O84" i="13"/>
  <c r="K84" i="13"/>
  <c r="J84" i="13"/>
  <c r="I84" i="13"/>
  <c r="G84" i="13"/>
  <c r="F84" i="13"/>
  <c r="L83" i="13"/>
  <c r="H83" i="13"/>
  <c r="E82" i="13"/>
  <c r="H81" i="13"/>
  <c r="N81" i="13" s="1"/>
  <c r="E80" i="13"/>
  <c r="H80" i="13" s="1"/>
  <c r="S79" i="13"/>
  <c r="R79" i="13"/>
  <c r="Q79" i="13"/>
  <c r="P79" i="13"/>
  <c r="O79" i="13"/>
  <c r="K79" i="13"/>
  <c r="J79" i="13"/>
  <c r="I79" i="13"/>
  <c r="G79" i="13"/>
  <c r="F79" i="13"/>
  <c r="L78" i="13"/>
  <c r="H78" i="13"/>
  <c r="H77" i="13"/>
  <c r="M77" i="13" s="1"/>
  <c r="L77" i="13" s="1"/>
  <c r="L76" i="13"/>
  <c r="H76" i="13"/>
  <c r="H74" i="13" s="1"/>
  <c r="H75" i="13"/>
  <c r="M75" i="13" s="1"/>
  <c r="S74" i="13"/>
  <c r="R74" i="13"/>
  <c r="Q74" i="13"/>
  <c r="P74" i="13"/>
  <c r="O74" i="13"/>
  <c r="N74" i="13"/>
  <c r="K74" i="13"/>
  <c r="J74" i="13"/>
  <c r="I74" i="13"/>
  <c r="G74" i="13"/>
  <c r="F74" i="13"/>
  <c r="E74" i="13"/>
  <c r="L73" i="13"/>
  <c r="H73" i="13"/>
  <c r="H72" i="13"/>
  <c r="M72" i="13" s="1"/>
  <c r="L72" i="13" s="1"/>
  <c r="H71" i="13"/>
  <c r="N71" i="13" s="1"/>
  <c r="H70" i="13"/>
  <c r="M70" i="13" s="1"/>
  <c r="S69" i="13"/>
  <c r="R69" i="13"/>
  <c r="Q69" i="13"/>
  <c r="P69" i="13"/>
  <c r="O69" i="13"/>
  <c r="K69" i="13"/>
  <c r="J69" i="13"/>
  <c r="I69" i="13"/>
  <c r="G69" i="13"/>
  <c r="F69" i="13"/>
  <c r="E69" i="13"/>
  <c r="L66" i="13"/>
  <c r="L65" i="13" s="1"/>
  <c r="H66" i="13"/>
  <c r="H65" i="13" s="1"/>
  <c r="P65" i="13"/>
  <c r="O65" i="13"/>
  <c r="N65" i="13"/>
  <c r="M65" i="13"/>
  <c r="K65" i="13"/>
  <c r="J65" i="13"/>
  <c r="I65" i="13"/>
  <c r="G65" i="13"/>
  <c r="E65" i="13"/>
  <c r="L64" i="13"/>
  <c r="H64" i="13"/>
  <c r="L63" i="13"/>
  <c r="H63" i="13"/>
  <c r="H62" i="13" s="1"/>
  <c r="S62" i="13"/>
  <c r="R62" i="13"/>
  <c r="Q62" i="13"/>
  <c r="P62" i="13"/>
  <c r="O62" i="13"/>
  <c r="N62" i="13"/>
  <c r="M62" i="13"/>
  <c r="K62" i="13"/>
  <c r="J62" i="13"/>
  <c r="I62" i="13"/>
  <c r="G62" i="13"/>
  <c r="F62" i="13"/>
  <c r="E62" i="13"/>
  <c r="L61" i="13"/>
  <c r="H61" i="13"/>
  <c r="L60" i="13"/>
  <c r="G60" i="13"/>
  <c r="E60" i="13"/>
  <c r="H60" i="13" s="1"/>
  <c r="L59" i="13"/>
  <c r="G59" i="13"/>
  <c r="G52" i="13" s="1"/>
  <c r="E59" i="13"/>
  <c r="H59" i="13" s="1"/>
  <c r="H58" i="13"/>
  <c r="L57" i="13"/>
  <c r="H57" i="13"/>
  <c r="L56" i="13"/>
  <c r="H56" i="13"/>
  <c r="L55" i="13"/>
  <c r="H55" i="13"/>
  <c r="H54" i="13"/>
  <c r="L53" i="13"/>
  <c r="L52" i="13" s="1"/>
  <c r="H53" i="13"/>
  <c r="S52" i="13"/>
  <c r="R52" i="13"/>
  <c r="Q52" i="13"/>
  <c r="Q51" i="13" s="1"/>
  <c r="Q48" i="13" s="1"/>
  <c r="P52" i="13"/>
  <c r="O52" i="13"/>
  <c r="N52" i="13"/>
  <c r="M52" i="13"/>
  <c r="K52" i="13"/>
  <c r="J52" i="13"/>
  <c r="I52" i="13"/>
  <c r="F52" i="13"/>
  <c r="F51" i="13" s="1"/>
  <c r="F48" i="13" s="1"/>
  <c r="E52" i="13"/>
  <c r="S51" i="13"/>
  <c r="S48" i="13" s="1"/>
  <c r="R51" i="13"/>
  <c r="R48" i="13" s="1"/>
  <c r="L50" i="13"/>
  <c r="H50" i="13"/>
  <c r="K50" i="13" s="1"/>
  <c r="K49" i="13" s="1"/>
  <c r="S49" i="13"/>
  <c r="R49" i="13"/>
  <c r="Q49" i="13"/>
  <c r="P49" i="13"/>
  <c r="O49" i="13"/>
  <c r="N49" i="13"/>
  <c r="M49" i="13"/>
  <c r="L49" i="13"/>
  <c r="J49" i="13"/>
  <c r="I49" i="13"/>
  <c r="G49" i="13"/>
  <c r="F49" i="13"/>
  <c r="E49" i="13"/>
  <c r="L47" i="13"/>
  <c r="L45" i="13" s="1"/>
  <c r="H47" i="13"/>
  <c r="H45" i="13" s="1"/>
  <c r="L46" i="13"/>
  <c r="H46" i="13"/>
  <c r="S45" i="13"/>
  <c r="R45" i="13"/>
  <c r="Q45" i="13"/>
  <c r="P45" i="13"/>
  <c r="O45" i="13"/>
  <c r="N45" i="13"/>
  <c r="M45" i="13"/>
  <c r="K45" i="13"/>
  <c r="J45" i="13"/>
  <c r="I45" i="13"/>
  <c r="G45" i="13"/>
  <c r="F45" i="13"/>
  <c r="E45" i="13"/>
  <c r="L44" i="13"/>
  <c r="H44" i="13"/>
  <c r="L43" i="13"/>
  <c r="H43" i="13"/>
  <c r="L42" i="13"/>
  <c r="H42" i="13"/>
  <c r="L41" i="13"/>
  <c r="L39" i="13" s="1"/>
  <c r="H41" i="13"/>
  <c r="H39" i="13" s="1"/>
  <c r="L40" i="13"/>
  <c r="H40" i="13"/>
  <c r="S39" i="13"/>
  <c r="R39" i="13"/>
  <c r="Q39" i="13"/>
  <c r="P39" i="13"/>
  <c r="O39" i="13"/>
  <c r="N39" i="13"/>
  <c r="M39" i="13"/>
  <c r="K39" i="13"/>
  <c r="J39" i="13"/>
  <c r="I39" i="13"/>
  <c r="G39" i="13"/>
  <c r="F39" i="13"/>
  <c r="E39" i="13"/>
  <c r="H38" i="13"/>
  <c r="L37" i="13"/>
  <c r="H37" i="13"/>
  <c r="H36" i="13"/>
  <c r="L35" i="13"/>
  <c r="H35" i="13"/>
  <c r="L34" i="13"/>
  <c r="G34" i="13"/>
  <c r="G27" i="13" s="1"/>
  <c r="G26" i="13" s="1"/>
  <c r="E34" i="13"/>
  <c r="L33" i="13"/>
  <c r="H33" i="13"/>
  <c r="L32" i="13"/>
  <c r="H32" i="13"/>
  <c r="L31" i="13"/>
  <c r="H31" i="13"/>
  <c r="L30" i="13"/>
  <c r="H30" i="13"/>
  <c r="L29" i="13"/>
  <c r="H29" i="13"/>
  <c r="L28" i="13"/>
  <c r="H28" i="13"/>
  <c r="S27" i="13"/>
  <c r="R27" i="13"/>
  <c r="Q27" i="13"/>
  <c r="P27" i="13"/>
  <c r="O27" i="13"/>
  <c r="N27" i="13"/>
  <c r="M27" i="13"/>
  <c r="K27" i="13"/>
  <c r="J27" i="13"/>
  <c r="I27" i="13"/>
  <c r="F27" i="13"/>
  <c r="L25" i="13"/>
  <c r="H25" i="13"/>
  <c r="K25" i="13" s="1"/>
  <c r="L24" i="13"/>
  <c r="H24" i="13"/>
  <c r="K24" i="13" s="1"/>
  <c r="K23" i="13" s="1"/>
  <c r="P23" i="13"/>
  <c r="O23" i="13"/>
  <c r="N23" i="13"/>
  <c r="M23" i="13"/>
  <c r="L23" i="13"/>
  <c r="J23" i="13"/>
  <c r="I23" i="13"/>
  <c r="G23" i="13"/>
  <c r="F23" i="13"/>
  <c r="E23" i="13"/>
  <c r="L22" i="13"/>
  <c r="H22" i="13"/>
  <c r="K22" i="13" s="1"/>
  <c r="H21" i="13"/>
  <c r="P21" i="13" s="1"/>
  <c r="L21" i="13" s="1"/>
  <c r="L20" i="13"/>
  <c r="H20" i="13"/>
  <c r="K20" i="13" s="1"/>
  <c r="H19" i="13"/>
  <c r="P19" i="13" s="1"/>
  <c r="L19" i="13" s="1"/>
  <c r="H18" i="13"/>
  <c r="H17" i="13"/>
  <c r="P17" i="13" s="1"/>
  <c r="L16" i="13"/>
  <c r="H16" i="13"/>
  <c r="S15" i="13"/>
  <c r="R15" i="13"/>
  <c r="Q15" i="13"/>
  <c r="O15" i="13"/>
  <c r="N15" i="13"/>
  <c r="M15" i="13"/>
  <c r="K15" i="13"/>
  <c r="J15" i="13"/>
  <c r="I15" i="13"/>
  <c r="I11" i="13" s="1"/>
  <c r="H15" i="13"/>
  <c r="G15" i="13"/>
  <c r="G11" i="13" s="1"/>
  <c r="F15" i="13"/>
  <c r="E15" i="13"/>
  <c r="H14" i="13"/>
  <c r="P14" i="13" s="1"/>
  <c r="L13" i="13"/>
  <c r="H13" i="13"/>
  <c r="H12" i="13" s="1"/>
  <c r="H11" i="13" s="1"/>
  <c r="O12" i="13"/>
  <c r="N12" i="13"/>
  <c r="M12" i="13"/>
  <c r="K12" i="13"/>
  <c r="J12" i="13"/>
  <c r="J11" i="13" s="1"/>
  <c r="I12" i="13"/>
  <c r="G12" i="13"/>
  <c r="F12" i="13"/>
  <c r="E12" i="13"/>
  <c r="S11" i="13"/>
  <c r="R11" i="13"/>
  <c r="Q11" i="13"/>
  <c r="O11" i="13"/>
  <c r="N11" i="13"/>
  <c r="M11" i="13"/>
  <c r="F11" i="13"/>
  <c r="E11" i="13"/>
  <c r="A3" i="12"/>
  <c r="A3" i="8"/>
  <c r="H155" i="6"/>
  <c r="H153" i="6"/>
  <c r="C31" i="12"/>
  <c r="C30" i="12" s="1"/>
  <c r="C13" i="12"/>
  <c r="H178" i="6"/>
  <c r="I19" i="6"/>
  <c r="I21" i="6" s="1"/>
  <c r="I22" i="6" s="1"/>
  <c r="I15" i="6"/>
  <c r="I17" i="6" s="1"/>
  <c r="E17" i="8"/>
  <c r="E9" i="8"/>
  <c r="E10" i="8"/>
  <c r="E23" i="8"/>
  <c r="C19" i="8"/>
  <c r="C18" i="8" s="1"/>
  <c r="C15" i="8"/>
  <c r="C8" i="8"/>
  <c r="B13" i="8"/>
  <c r="B10" i="8"/>
  <c r="B9" i="8"/>
  <c r="C116" i="7"/>
  <c r="D10" i="7"/>
  <c r="D9" i="7" s="1"/>
  <c r="F10" i="7"/>
  <c r="E129" i="7"/>
  <c r="E11" i="7"/>
  <c r="E12" i="7"/>
  <c r="E13" i="7"/>
  <c r="E14" i="7"/>
  <c r="E15" i="7"/>
  <c r="E16" i="7"/>
  <c r="E17" i="7"/>
  <c r="E18" i="7"/>
  <c r="E19" i="7"/>
  <c r="E21" i="7"/>
  <c r="E22" i="7"/>
  <c r="E23" i="7"/>
  <c r="E24" i="7"/>
  <c r="E25" i="7"/>
  <c r="E26" i="7"/>
  <c r="E27" i="7"/>
  <c r="E28" i="7"/>
  <c r="E29" i="7"/>
  <c r="E30" i="7"/>
  <c r="E31" i="7"/>
  <c r="E32" i="7"/>
  <c r="E33" i="7"/>
  <c r="E35" i="7"/>
  <c r="E36" i="7"/>
  <c r="E37" i="7"/>
  <c r="E38" i="7"/>
  <c r="E39" i="7"/>
  <c r="E40" i="7"/>
  <c r="E41" i="7"/>
  <c r="E43" i="7"/>
  <c r="E44" i="7"/>
  <c r="E47" i="7"/>
  <c r="E48" i="7"/>
  <c r="E49" i="7"/>
  <c r="E50" i="7"/>
  <c r="E51" i="7"/>
  <c r="E52" i="7"/>
  <c r="E54" i="7"/>
  <c r="E55" i="7"/>
  <c r="E57" i="7"/>
  <c r="E58" i="7"/>
  <c r="E59" i="7"/>
  <c r="E61" i="7"/>
  <c r="E62" i="7"/>
  <c r="E63" i="7"/>
  <c r="E64" i="7"/>
  <c r="E65" i="7"/>
  <c r="E66" i="7"/>
  <c r="E67" i="7"/>
  <c r="E68" i="7"/>
  <c r="E70" i="7"/>
  <c r="E71" i="7"/>
  <c r="E73" i="7"/>
  <c r="E74" i="7"/>
  <c r="E75" i="7"/>
  <c r="E76" i="7"/>
  <c r="E77" i="7"/>
  <c r="E78" i="7"/>
  <c r="E79" i="7"/>
  <c r="E81" i="7"/>
  <c r="E82" i="7"/>
  <c r="E83" i="7"/>
  <c r="E84" i="7"/>
  <c r="E85" i="7"/>
  <c r="E86" i="7"/>
  <c r="E87" i="7"/>
  <c r="E89" i="7"/>
  <c r="E90" i="7"/>
  <c r="E91" i="7"/>
  <c r="E92" i="7"/>
  <c r="E94" i="7"/>
  <c r="E95" i="7"/>
  <c r="E96" i="7"/>
  <c r="E97" i="7"/>
  <c r="E99" i="7"/>
  <c r="E100" i="7"/>
  <c r="E101" i="7"/>
  <c r="E102" i="7"/>
  <c r="E103" i="7"/>
  <c r="E105" i="7"/>
  <c r="E106" i="7"/>
  <c r="E107" i="7"/>
  <c r="E108" i="7"/>
  <c r="E110" i="7"/>
  <c r="E111" i="7"/>
  <c r="E112" i="7"/>
  <c r="E113" i="7"/>
  <c r="E114" i="7"/>
  <c r="E115" i="7"/>
  <c r="E119" i="7"/>
  <c r="E120" i="7"/>
  <c r="E122" i="7"/>
  <c r="E123" i="7"/>
  <c r="E127" i="7"/>
  <c r="E128" i="7"/>
  <c r="E130" i="7"/>
  <c r="C124" i="7"/>
  <c r="C121" i="7"/>
  <c r="E121" i="7" s="1"/>
  <c r="C117" i="7"/>
  <c r="C109" i="7"/>
  <c r="E109" i="7" s="1"/>
  <c r="C104" i="7"/>
  <c r="E104" i="7" s="1"/>
  <c r="C98" i="7"/>
  <c r="E98" i="7" s="1"/>
  <c r="C93" i="7"/>
  <c r="E93" i="7" s="1"/>
  <c r="C88" i="7"/>
  <c r="C72" i="7"/>
  <c r="E72" i="7" s="1"/>
  <c r="C69" i="7"/>
  <c r="E69" i="7" s="1"/>
  <c r="C60" i="7"/>
  <c r="E60" i="7" s="1"/>
  <c r="C56" i="7"/>
  <c r="E56" i="7" s="1"/>
  <c r="C53" i="7"/>
  <c r="E53" i="7" s="1"/>
  <c r="C46" i="7"/>
  <c r="C42" i="7"/>
  <c r="E42" i="7" s="1"/>
  <c r="C20" i="7"/>
  <c r="E20" i="7" s="1"/>
  <c r="H84" i="6"/>
  <c r="H40" i="6" l="1"/>
  <c r="H41" i="6" s="1"/>
  <c r="E114" i="13"/>
  <c r="E84" i="13"/>
  <c r="H49" i="13"/>
  <c r="E89" i="13"/>
  <c r="E109" i="13"/>
  <c r="H154" i="13"/>
  <c r="E119" i="13"/>
  <c r="H177" i="13"/>
  <c r="H69" i="13"/>
  <c r="H23" i="13"/>
  <c r="H125" i="13"/>
  <c r="H124" i="13" s="1"/>
  <c r="J62" i="15"/>
  <c r="J42" i="15"/>
  <c r="J41" i="15" s="1"/>
  <c r="F42" i="15"/>
  <c r="H8" i="15"/>
  <c r="I8" i="15"/>
  <c r="F23" i="15"/>
  <c r="G8" i="15"/>
  <c r="R26" i="13"/>
  <c r="R10" i="13" s="1"/>
  <c r="R9" i="13" s="1"/>
  <c r="Q26" i="13"/>
  <c r="Q10" i="13" s="1"/>
  <c r="P26" i="13"/>
  <c r="O26" i="13"/>
  <c r="O10" i="13" s="1"/>
  <c r="N26" i="13"/>
  <c r="N10" i="13" s="1"/>
  <c r="M26" i="13"/>
  <c r="M10" i="13" s="1"/>
  <c r="K26" i="13"/>
  <c r="J26" i="13"/>
  <c r="J10" i="13" s="1"/>
  <c r="I26" i="13"/>
  <c r="I10" i="13" s="1"/>
  <c r="F26" i="13"/>
  <c r="F10" i="13" s="1"/>
  <c r="F9" i="13" s="1"/>
  <c r="G10" i="13"/>
  <c r="H105" i="13"/>
  <c r="H104" i="13" s="1"/>
  <c r="E104" i="13"/>
  <c r="D124" i="7"/>
  <c r="D116" i="7" s="1"/>
  <c r="P51" i="13"/>
  <c r="P48" i="13" s="1"/>
  <c r="O51" i="13"/>
  <c r="O48" i="13" s="1"/>
  <c r="N51" i="13"/>
  <c r="N48" i="13" s="1"/>
  <c r="M51" i="13"/>
  <c r="M48" i="13" s="1"/>
  <c r="K51" i="13"/>
  <c r="K48" i="13" s="1"/>
  <c r="J51" i="13"/>
  <c r="J48" i="13" s="1"/>
  <c r="I51" i="13"/>
  <c r="I48" i="13" s="1"/>
  <c r="G51" i="13"/>
  <c r="G48" i="13" s="1"/>
  <c r="E51" i="13"/>
  <c r="E48" i="13" s="1"/>
  <c r="H131" i="13"/>
  <c r="L62" i="13"/>
  <c r="L51" i="13" s="1"/>
  <c r="L48" i="13" s="1"/>
  <c r="L27" i="13"/>
  <c r="L26" i="13" s="1"/>
  <c r="S26" i="13"/>
  <c r="S10" i="13" s="1"/>
  <c r="S9" i="13" s="1"/>
  <c r="S130" i="13"/>
  <c r="R130" i="13"/>
  <c r="Q130" i="13"/>
  <c r="S68" i="13"/>
  <c r="R68" i="13"/>
  <c r="Q68" i="13"/>
  <c r="P68" i="13"/>
  <c r="O68" i="13"/>
  <c r="K68" i="13"/>
  <c r="J68" i="13"/>
  <c r="I68" i="13"/>
  <c r="I67" i="13" s="1"/>
  <c r="G68" i="13"/>
  <c r="G67" i="13" s="1"/>
  <c r="F68" i="13"/>
  <c r="F67" i="13" s="1"/>
  <c r="H52" i="13"/>
  <c r="H51" i="13" s="1"/>
  <c r="H48" i="13" s="1"/>
  <c r="K11" i="13"/>
  <c r="M177" i="13"/>
  <c r="L178" i="13"/>
  <c r="H100" i="13"/>
  <c r="E99" i="13"/>
  <c r="H34" i="13"/>
  <c r="H27" i="13" s="1"/>
  <c r="H26" i="13" s="1"/>
  <c r="E27" i="13"/>
  <c r="E26" i="13" s="1"/>
  <c r="E10" i="13" s="1"/>
  <c r="E15" i="8"/>
  <c r="C14" i="8"/>
  <c r="C11" i="8" s="1"/>
  <c r="C7" i="8"/>
  <c r="E8" i="8"/>
  <c r="C11" i="12"/>
  <c r="C7" i="12" s="1"/>
  <c r="H271" i="6"/>
  <c r="J23" i="15"/>
  <c r="K47" i="15"/>
  <c r="K41" i="15" s="1"/>
  <c r="M183" i="13"/>
  <c r="L183" i="13" s="1"/>
  <c r="L179" i="13"/>
  <c r="N177" i="13"/>
  <c r="N164" i="13"/>
  <c r="L169" i="13"/>
  <c r="M164" i="13"/>
  <c r="L165" i="13"/>
  <c r="N154" i="13"/>
  <c r="L159" i="13"/>
  <c r="M154" i="13"/>
  <c r="L155" i="13"/>
  <c r="N131" i="13"/>
  <c r="L147" i="13"/>
  <c r="M131" i="13"/>
  <c r="L141" i="13"/>
  <c r="M125" i="13"/>
  <c r="M124" i="13" s="1"/>
  <c r="L127" i="13"/>
  <c r="N125" i="13"/>
  <c r="N124" i="13" s="1"/>
  <c r="L126" i="13"/>
  <c r="N119" i="13"/>
  <c r="L122" i="13"/>
  <c r="M120" i="13"/>
  <c r="H119" i="13"/>
  <c r="L116" i="13"/>
  <c r="N114" i="13"/>
  <c r="M115" i="13"/>
  <c r="H114" i="13"/>
  <c r="N109" i="13"/>
  <c r="L111" i="13"/>
  <c r="M110" i="13"/>
  <c r="H109" i="13"/>
  <c r="N104" i="13"/>
  <c r="L106" i="13"/>
  <c r="L101" i="13"/>
  <c r="N99" i="13"/>
  <c r="N94" i="13"/>
  <c r="L96" i="13"/>
  <c r="M95" i="13"/>
  <c r="H94" i="13"/>
  <c r="N89" i="13"/>
  <c r="L91" i="13"/>
  <c r="H89" i="13"/>
  <c r="M90" i="13"/>
  <c r="L86" i="13"/>
  <c r="N84" i="13"/>
  <c r="M85" i="13"/>
  <c r="H84" i="13"/>
  <c r="E79" i="13"/>
  <c r="H82" i="13"/>
  <c r="N79" i="13"/>
  <c r="L81" i="13"/>
  <c r="M80" i="13"/>
  <c r="M74" i="13"/>
  <c r="L75" i="13"/>
  <c r="L74" i="13" s="1"/>
  <c r="N69" i="13"/>
  <c r="L71" i="13"/>
  <c r="M69" i="13"/>
  <c r="L70" i="13"/>
  <c r="P15" i="13"/>
  <c r="L17" i="13"/>
  <c r="L15" i="13" s="1"/>
  <c r="L14" i="13"/>
  <c r="L12" i="13" s="1"/>
  <c r="L11" i="13" s="1"/>
  <c r="P12" i="13"/>
  <c r="P11" i="13" s="1"/>
  <c r="P10" i="13" s="1"/>
  <c r="D19" i="12"/>
  <c r="H107" i="6"/>
  <c r="E88" i="7"/>
  <c r="C80" i="7"/>
  <c r="E80" i="7" s="1"/>
  <c r="C45" i="7"/>
  <c r="E46" i="7"/>
  <c r="H184" i="6" l="1"/>
  <c r="H10" i="13"/>
  <c r="L154" i="13"/>
  <c r="M105" i="13"/>
  <c r="J67" i="13"/>
  <c r="K67" i="13"/>
  <c r="K10" i="13"/>
  <c r="F33" i="15"/>
  <c r="F22" i="15"/>
  <c r="F8" i="15" s="1"/>
  <c r="E116" i="7"/>
  <c r="F118" i="7" s="1"/>
  <c r="C6" i="12"/>
  <c r="S67" i="13"/>
  <c r="S8" i="13" s="1"/>
  <c r="R67" i="13"/>
  <c r="R8" i="13" s="1"/>
  <c r="L164" i="13"/>
  <c r="E9" i="13"/>
  <c r="G9" i="13"/>
  <c r="G8" i="13" s="1"/>
  <c r="N9" i="13"/>
  <c r="I9" i="13"/>
  <c r="I8" i="13" s="1"/>
  <c r="J9" i="13"/>
  <c r="O9" i="13"/>
  <c r="E16" i="8"/>
  <c r="E14" i="8" s="1"/>
  <c r="E11" i="8" s="1"/>
  <c r="D24" i="8"/>
  <c r="K9" i="13"/>
  <c r="K8" i="13" s="1"/>
  <c r="F8" i="13"/>
  <c r="P9" i="13"/>
  <c r="Q67" i="13"/>
  <c r="Q8" i="13" s="1"/>
  <c r="P67" i="13"/>
  <c r="O67" i="13"/>
  <c r="L125" i="13"/>
  <c r="L124" i="13" s="1"/>
  <c r="L177" i="13"/>
  <c r="L10" i="13"/>
  <c r="L9" i="13" s="1"/>
  <c r="J1" i="13" s="1"/>
  <c r="M100" i="13"/>
  <c r="H99" i="13"/>
  <c r="M82" i="13"/>
  <c r="H79" i="13"/>
  <c r="H68" i="13" s="1"/>
  <c r="H67" i="13" s="1"/>
  <c r="E7" i="8"/>
  <c r="C6" i="8"/>
  <c r="H9" i="13"/>
  <c r="L131" i="13"/>
  <c r="N68" i="13"/>
  <c r="L69" i="13"/>
  <c r="K23" i="15"/>
  <c r="K8" i="15" s="1"/>
  <c r="L8" i="15" s="1"/>
  <c r="L9" i="15" s="1"/>
  <c r="J12" i="15"/>
  <c r="J8" i="15" s="1"/>
  <c r="M119" i="13"/>
  <c r="L120" i="13"/>
  <c r="L119" i="13" s="1"/>
  <c r="M114" i="13"/>
  <c r="L115" i="13"/>
  <c r="L114" i="13" s="1"/>
  <c r="M109" i="13"/>
  <c r="L110" i="13"/>
  <c r="L109" i="13" s="1"/>
  <c r="L105" i="13"/>
  <c r="L104" i="13" s="1"/>
  <c r="M104" i="13"/>
  <c r="M94" i="13"/>
  <c r="L95" i="13"/>
  <c r="L94" i="13" s="1"/>
  <c r="L90" i="13"/>
  <c r="L89" i="13" s="1"/>
  <c r="M89" i="13"/>
  <c r="L85" i="13"/>
  <c r="L84" i="13" s="1"/>
  <c r="M84" i="13"/>
  <c r="L80" i="13"/>
  <c r="H62" i="6"/>
  <c r="D6" i="8"/>
  <c r="E45" i="7"/>
  <c r="C34" i="7"/>
  <c r="H286" i="6"/>
  <c r="K287" i="6" l="1"/>
  <c r="J8" i="13"/>
  <c r="G116" i="7"/>
  <c r="E24" i="8"/>
  <c r="D11" i="8"/>
  <c r="P8" i="13"/>
  <c r="H8" i="13"/>
  <c r="O8" i="13"/>
  <c r="M99" i="13"/>
  <c r="L100" i="13"/>
  <c r="L99" i="13" s="1"/>
  <c r="N67" i="13"/>
  <c r="N8" i="13" s="1"/>
  <c r="E6" i="8"/>
  <c r="L82" i="13"/>
  <c r="L79" i="13" s="1"/>
  <c r="L68" i="13" s="1"/>
  <c r="L67" i="13" s="1"/>
  <c r="L8" i="13" s="1"/>
  <c r="M79" i="13"/>
  <c r="E34" i="7"/>
  <c r="E10" i="7" s="1"/>
  <c r="E9" i="7" s="1"/>
  <c r="C10" i="7"/>
  <c r="I287" i="6" l="1"/>
  <c r="I288" i="6" s="1"/>
  <c r="H287" i="6"/>
  <c r="J9" i="6"/>
  <c r="K11" i="6"/>
  <c r="J13" i="6"/>
  <c r="J14" i="6" s="1"/>
  <c r="M68" i="13"/>
  <c r="M67" i="13" s="1"/>
  <c r="M8" i="13" s="1"/>
  <c r="C9" i="7"/>
  <c r="I190" i="5"/>
  <c r="F190" i="5" s="1"/>
  <c r="F199" i="5"/>
  <c r="F201" i="5"/>
  <c r="F192" i="5"/>
  <c r="I200" i="5"/>
  <c r="I191" i="5" s="1"/>
  <c r="F191" i="5" s="1"/>
  <c r="I196" i="5"/>
  <c r="I187" i="5" s="1"/>
  <c r="F187" i="5" s="1"/>
  <c r="J179" i="5"/>
  <c r="K179" i="5"/>
  <c r="L179" i="5"/>
  <c r="M179" i="5"/>
  <c r="N179" i="5"/>
  <c r="O179" i="5"/>
  <c r="P179" i="5"/>
  <c r="Q179" i="5"/>
  <c r="R179" i="5"/>
  <c r="S179" i="5"/>
  <c r="J186" i="5"/>
  <c r="J180" i="5" s="1"/>
  <c r="K186" i="5"/>
  <c r="K180" i="5" s="1"/>
  <c r="L186" i="5"/>
  <c r="L180" i="5" s="1"/>
  <c r="M186" i="5"/>
  <c r="M180" i="5" s="1"/>
  <c r="N186" i="5"/>
  <c r="N180" i="5" s="1"/>
  <c r="O186" i="5"/>
  <c r="O180" i="5" s="1"/>
  <c r="P186" i="5"/>
  <c r="P180" i="5" s="1"/>
  <c r="Q186" i="5"/>
  <c r="Q180" i="5" s="1"/>
  <c r="R186" i="5"/>
  <c r="R180" i="5" s="1"/>
  <c r="S202" i="5"/>
  <c r="P202" i="5"/>
  <c r="P198" i="5"/>
  <c r="P197" i="5"/>
  <c r="S195" i="5"/>
  <c r="R195" i="5"/>
  <c r="Q195" i="5"/>
  <c r="G195" i="5"/>
  <c r="H195" i="5"/>
  <c r="J195" i="5"/>
  <c r="K195" i="5"/>
  <c r="L195" i="5"/>
  <c r="M195" i="5"/>
  <c r="G186" i="5"/>
  <c r="G180" i="5" s="1"/>
  <c r="H186" i="5"/>
  <c r="H180" i="5" s="1"/>
  <c r="I189" i="5"/>
  <c r="F189" i="5" s="1"/>
  <c r="I188" i="5"/>
  <c r="F188" i="5" s="1"/>
  <c r="F197" i="5"/>
  <c r="F198" i="5"/>
  <c r="F207" i="5"/>
  <c r="F208" i="5"/>
  <c r="F209" i="5"/>
  <c r="F210" i="5"/>
  <c r="F211" i="5"/>
  <c r="F206" i="5"/>
  <c r="I18" i="6" l="1"/>
  <c r="S194" i="5"/>
  <c r="F196" i="5"/>
  <c r="F200" i="5"/>
  <c r="F195" i="5" s="1"/>
  <c r="S188" i="5"/>
  <c r="S189" i="5"/>
  <c r="I195" i="5"/>
  <c r="P195" i="5"/>
  <c r="P194" i="5" s="1"/>
  <c r="F186" i="5"/>
  <c r="F180" i="5" s="1"/>
  <c r="I186" i="5"/>
  <c r="I180" i="5" s="1"/>
  <c r="R302" i="5"/>
  <c r="P302" i="5"/>
  <c r="O302" i="5"/>
  <c r="N302" i="5"/>
  <c r="M302" i="5"/>
  <c r="L302" i="5"/>
  <c r="K302" i="5"/>
  <c r="J302" i="5"/>
  <c r="I302" i="5"/>
  <c r="F302" i="5"/>
  <c r="S295" i="5"/>
  <c r="S294" i="5" s="1"/>
  <c r="Q295" i="5"/>
  <c r="Q294" i="5" s="1"/>
  <c r="I295" i="5"/>
  <c r="I294" i="5" s="1"/>
  <c r="F295" i="5"/>
  <c r="F294" i="5" s="1"/>
  <c r="S289" i="5"/>
  <c r="S306" i="5" s="1"/>
  <c r="S288" i="5"/>
  <c r="S287" i="5"/>
  <c r="Q287" i="5" s="1"/>
  <c r="Q304" i="5" s="1"/>
  <c r="S286" i="5"/>
  <c r="Q286" i="5" s="1"/>
  <c r="R285" i="5"/>
  <c r="R279" i="5" s="1"/>
  <c r="R278" i="5" s="1"/>
  <c r="P285" i="5"/>
  <c r="P279" i="5" s="1"/>
  <c r="P278" i="5" s="1"/>
  <c r="P7" i="5" s="1"/>
  <c r="O285" i="5"/>
  <c r="O279" i="5" s="1"/>
  <c r="O278" i="5" s="1"/>
  <c r="O7" i="5" s="1"/>
  <c r="N285" i="5"/>
  <c r="N279" i="5" s="1"/>
  <c r="N278" i="5" s="1"/>
  <c r="N7" i="5" s="1"/>
  <c r="M285" i="5"/>
  <c r="M279" i="5" s="1"/>
  <c r="M278" i="5" s="1"/>
  <c r="L285" i="5"/>
  <c r="L279" i="5" s="1"/>
  <c r="L278" i="5" s="1"/>
  <c r="K285" i="5"/>
  <c r="K279" i="5" s="1"/>
  <c r="K278" i="5" s="1"/>
  <c r="J285" i="5"/>
  <c r="J279" i="5" s="1"/>
  <c r="J278" i="5" s="1"/>
  <c r="I285" i="5"/>
  <c r="I279" i="5" s="1"/>
  <c r="F285" i="5"/>
  <c r="F279" i="5" s="1"/>
  <c r="H278" i="5"/>
  <c r="G278" i="5"/>
  <c r="I269" i="5"/>
  <c r="H269" i="5"/>
  <c r="G269" i="5"/>
  <c r="F269" i="5"/>
  <c r="I267" i="5"/>
  <c r="I256" i="5" s="1"/>
  <c r="H267" i="5"/>
  <c r="H256" i="5" s="1"/>
  <c r="G267" i="5"/>
  <c r="G256" i="5" s="1"/>
  <c r="F267" i="5"/>
  <c r="F256" i="5" s="1"/>
  <c r="G238" i="5"/>
  <c r="F238" i="5" s="1"/>
  <c r="F237" i="5" s="1"/>
  <c r="I237" i="5"/>
  <c r="H237" i="5"/>
  <c r="I233" i="5"/>
  <c r="F233" i="5"/>
  <c r="I231" i="5"/>
  <c r="F231" i="5"/>
  <c r="G214" i="5"/>
  <c r="F214" i="5" s="1"/>
  <c r="F213" i="5" s="1"/>
  <c r="I213" i="5"/>
  <c r="H213" i="5"/>
  <c r="H212" i="5" s="1"/>
  <c r="L212" i="5" s="1"/>
  <c r="I205" i="5"/>
  <c r="F205" i="5"/>
  <c r="F179" i="5" s="1"/>
  <c r="I202" i="5"/>
  <c r="F202" i="5"/>
  <c r="I171" i="5"/>
  <c r="F171" i="5"/>
  <c r="I169" i="5"/>
  <c r="F169" i="5"/>
  <c r="F167" i="5"/>
  <c r="F166" i="5"/>
  <c r="F165" i="5"/>
  <c r="F164" i="5"/>
  <c r="F163" i="5"/>
  <c r="F162" i="5"/>
  <c r="F161" i="5"/>
  <c r="I160" i="5"/>
  <c r="F160" i="5" s="1"/>
  <c r="F159" i="5" s="1"/>
  <c r="H159" i="5"/>
  <c r="H140" i="5" s="1"/>
  <c r="G159" i="5"/>
  <c r="F154" i="5"/>
  <c r="F153" i="5"/>
  <c r="F152" i="5"/>
  <c r="F151" i="5"/>
  <c r="F150" i="5"/>
  <c r="F149" i="5"/>
  <c r="F148" i="5"/>
  <c r="M147" i="5"/>
  <c r="L147" i="5"/>
  <c r="K147" i="5"/>
  <c r="J147" i="5"/>
  <c r="I147" i="5"/>
  <c r="I141" i="5" s="1"/>
  <c r="H147" i="5"/>
  <c r="G147" i="5"/>
  <c r="F142" i="5"/>
  <c r="G141" i="5"/>
  <c r="M140" i="5"/>
  <c r="L140" i="5"/>
  <c r="K140" i="5"/>
  <c r="J140" i="5"/>
  <c r="I133" i="5"/>
  <c r="I104" i="5" s="1"/>
  <c r="M104" i="5" s="1"/>
  <c r="F133" i="5"/>
  <c r="F104" i="5" s="1"/>
  <c r="J104" i="5" s="1"/>
  <c r="I130" i="5"/>
  <c r="I122" i="5" s="1"/>
  <c r="H130" i="5"/>
  <c r="G130" i="5"/>
  <c r="F130" i="5"/>
  <c r="F122" i="5" s="1"/>
  <c r="H104" i="5"/>
  <c r="L104" i="5" s="1"/>
  <c r="G104" i="5"/>
  <c r="K104" i="5" s="1"/>
  <c r="I98" i="5"/>
  <c r="I70" i="5" s="1"/>
  <c r="F98" i="5"/>
  <c r="F70" i="5" s="1"/>
  <c r="J70" i="5" s="1"/>
  <c r="I96" i="5"/>
  <c r="F96" i="5"/>
  <c r="I94" i="5"/>
  <c r="F94" i="5"/>
  <c r="H87" i="5"/>
  <c r="G87" i="5"/>
  <c r="L70" i="5"/>
  <c r="G70" i="5"/>
  <c r="K70" i="5" s="1"/>
  <c r="F69" i="5"/>
  <c r="F68" i="5"/>
  <c r="F67" i="5"/>
  <c r="F66" i="5"/>
  <c r="F65" i="5"/>
  <c r="F64" i="5"/>
  <c r="I63" i="5"/>
  <c r="F63" i="5" s="1"/>
  <c r="S55" i="5"/>
  <c r="Q55" i="5" s="1"/>
  <c r="Q54" i="5" s="1"/>
  <c r="I55" i="5"/>
  <c r="I54" i="5" s="1"/>
  <c r="F55" i="5"/>
  <c r="F54" i="5" s="1"/>
  <c r="S52" i="5"/>
  <c r="Q52" i="5" s="1"/>
  <c r="N52" i="5"/>
  <c r="S51" i="5"/>
  <c r="S68" i="5" s="1"/>
  <c r="Q68" i="5" s="1"/>
  <c r="N51" i="5"/>
  <c r="S50" i="5"/>
  <c r="S67" i="5" s="1"/>
  <c r="Q67" i="5" s="1"/>
  <c r="N50" i="5"/>
  <c r="S49" i="5"/>
  <c r="Q49" i="5" s="1"/>
  <c r="N49" i="5"/>
  <c r="S48" i="5"/>
  <c r="Q48" i="5" s="1"/>
  <c r="N48" i="5"/>
  <c r="S47" i="5"/>
  <c r="Q47" i="5" s="1"/>
  <c r="N47" i="5"/>
  <c r="P46" i="5"/>
  <c r="I46" i="5"/>
  <c r="I40" i="5" s="1"/>
  <c r="F46" i="5"/>
  <c r="Q41" i="5"/>
  <c r="F41" i="5"/>
  <c r="R40" i="5"/>
  <c r="R39" i="5" s="1"/>
  <c r="G40" i="5"/>
  <c r="G39" i="5" s="1"/>
  <c r="K39" i="5" s="1"/>
  <c r="H39" i="5"/>
  <c r="I34" i="5"/>
  <c r="I8" i="5" s="1"/>
  <c r="M8" i="5" s="1"/>
  <c r="F34" i="5"/>
  <c r="F8" i="5" s="1"/>
  <c r="J8" i="5" s="1"/>
  <c r="I32" i="5"/>
  <c r="F32" i="5"/>
  <c r="I29" i="5"/>
  <c r="F29" i="5"/>
  <c r="L8" i="5"/>
  <c r="G8" i="5"/>
  <c r="K8" i="5" s="1"/>
  <c r="E7" i="5"/>
  <c r="D7" i="5"/>
  <c r="C7" i="5"/>
  <c r="G140" i="5" l="1"/>
  <c r="F194" i="5"/>
  <c r="Q51" i="5"/>
  <c r="Q289" i="5"/>
  <c r="Q306" i="5" s="1"/>
  <c r="I39" i="5"/>
  <c r="M39" i="5" s="1"/>
  <c r="F87" i="5"/>
  <c r="I194" i="5"/>
  <c r="I159" i="5"/>
  <c r="I140" i="5" s="1"/>
  <c r="H236" i="5"/>
  <c r="L236" i="5" s="1"/>
  <c r="S285" i="5"/>
  <c r="S279" i="5" s="1"/>
  <c r="S278" i="5" s="1"/>
  <c r="S186" i="5"/>
  <c r="S180" i="5" s="1"/>
  <c r="I179" i="5"/>
  <c r="S64" i="5"/>
  <c r="Q64" i="5" s="1"/>
  <c r="I87" i="5"/>
  <c r="S46" i="5"/>
  <c r="S40" i="5" s="1"/>
  <c r="Q40" i="5" s="1"/>
  <c r="Q50" i="5"/>
  <c r="R7" i="5"/>
  <c r="N46" i="5"/>
  <c r="I236" i="5"/>
  <c r="M236" i="5" s="1"/>
  <c r="S69" i="5"/>
  <c r="Q69" i="5" s="1"/>
  <c r="F236" i="5"/>
  <c r="J236" i="5" s="1"/>
  <c r="S304" i="5"/>
  <c r="S65" i="5"/>
  <c r="Q65" i="5" s="1"/>
  <c r="F147" i="5"/>
  <c r="I212" i="5"/>
  <c r="M212" i="5" s="1"/>
  <c r="F278" i="5"/>
  <c r="Q288" i="5"/>
  <c r="Q305" i="5" s="1"/>
  <c r="F141" i="5"/>
  <c r="F140" i="5" s="1"/>
  <c r="F212" i="5"/>
  <c r="J212" i="5" s="1"/>
  <c r="F40" i="5"/>
  <c r="I278" i="5"/>
  <c r="M70" i="5"/>
  <c r="Q303" i="5"/>
  <c r="G213" i="5"/>
  <c r="G212" i="5" s="1"/>
  <c r="K212" i="5" s="1"/>
  <c r="G237" i="5"/>
  <c r="G236" i="5" s="1"/>
  <c r="K236" i="5" s="1"/>
  <c r="S54" i="5"/>
  <c r="S66" i="5"/>
  <c r="Q66" i="5" s="1"/>
  <c r="S303" i="5"/>
  <c r="S305" i="5"/>
  <c r="L39" i="5"/>
  <c r="Q46" i="5" l="1"/>
  <c r="F39" i="5"/>
  <c r="F7" i="5" s="1"/>
  <c r="H7" i="5"/>
  <c r="L7" i="5"/>
  <c r="Q285" i="5"/>
  <c r="Q279" i="5" s="1"/>
  <c r="Q278" i="5" s="1"/>
  <c r="M7" i="5"/>
  <c r="Q302" i="5"/>
  <c r="S302" i="5"/>
  <c r="I7" i="5"/>
  <c r="K7" i="5"/>
  <c r="S63" i="5"/>
  <c r="G7" i="5"/>
  <c r="J39" i="5" l="1"/>
  <c r="J7" i="5" s="1"/>
  <c r="Q63" i="5"/>
  <c r="S39" i="5"/>
  <c r="S7" i="5" l="1"/>
  <c r="Q39" i="5"/>
  <c r="Q7" i="5" s="1"/>
  <c r="E13" i="8" l="1"/>
  <c r="D19" i="8"/>
  <c r="D18" i="8" s="1"/>
  <c r="E19" i="8" l="1"/>
  <c r="I8" i="6" s="1"/>
  <c r="I9" i="6" s="1"/>
  <c r="F21" i="8" l="1"/>
  <c r="F12" i="8"/>
  <c r="D46" i="19" l="1"/>
  <c r="D5" i="19" s="1"/>
  <c r="F189" i="6" s="1"/>
  <c r="F8" i="6" l="1"/>
  <c r="F7" i="6" s="1"/>
  <c r="I6" i="6" s="1"/>
  <c r="G189" i="6"/>
  <c r="G8" i="6" s="1"/>
  <c r="E5" i="19"/>
  <c r="H17" i="6" l="1"/>
  <c r="H18" i="6" s="1"/>
  <c r="H19" i="6" s="1"/>
  <c r="H13" i="6"/>
  <c r="H14" i="6" s="1"/>
  <c r="G7" i="6"/>
  <c r="H10" i="6" s="1"/>
  <c r="H11"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F10" authorId="0" shapeId="0" xr:uid="{3BCB8AD1-B404-4B17-931D-6E398AE42117}">
      <text>
        <r>
          <rPr>
            <b/>
            <sz val="9"/>
            <rFont val="Tahoma"/>
            <family val="2"/>
          </rPr>
          <t>Administrator:</t>
        </r>
        <r>
          <rPr>
            <sz val="9"/>
            <rFont val="Tahoma"/>
            <family val="2"/>
          </rPr>
          <t xml:space="preserve">
226
</t>
        </r>
      </text>
    </comment>
  </commentList>
</comments>
</file>

<file path=xl/sharedStrings.xml><?xml version="1.0" encoding="utf-8"?>
<sst xmlns="http://schemas.openxmlformats.org/spreadsheetml/2006/main" count="2100" uniqueCount="894">
  <si>
    <t>Đơn vị tính: Triệu đồng</t>
  </si>
  <si>
    <t>STT</t>
  </si>
  <si>
    <t>I</t>
  </si>
  <si>
    <t>II</t>
  </si>
  <si>
    <t>III</t>
  </si>
  <si>
    <t>IV</t>
  </si>
  <si>
    <t>V</t>
  </si>
  <si>
    <t>VI</t>
  </si>
  <si>
    <t>VII</t>
  </si>
  <si>
    <t>VIII</t>
  </si>
  <si>
    <t>a</t>
  </si>
  <si>
    <t>b</t>
  </si>
  <si>
    <t>1.1</t>
  </si>
  <si>
    <t>1.3</t>
  </si>
  <si>
    <t>1.2</t>
  </si>
  <si>
    <t>2.1</t>
  </si>
  <si>
    <t>2.2</t>
  </si>
  <si>
    <t>3.1</t>
  </si>
  <si>
    <t>3.2</t>
  </si>
  <si>
    <t>TỔNG HỢP KINH PHÍ CHI CHUYỂN NGUỒN NGÂN SÁCH HUYỆN VÀ NGÂN SÁCH XÃ</t>
  </si>
  <si>
    <t>Nội dung</t>
  </si>
  <si>
    <t>Trước điều chỉnh (trước QĐ 317)</t>
  </si>
  <si>
    <t>QĐ 317</t>
  </si>
  <si>
    <t>So sánh số liệu QĐ 317 và số liệu trước QĐ 317</t>
  </si>
  <si>
    <t>Số điều chỉnh lần này</t>
  </si>
  <si>
    <t>Sau điều chỉnh lần này</t>
  </si>
  <si>
    <t>Ghi chú</t>
  </si>
  <si>
    <t>Tổng cộng</t>
  </si>
  <si>
    <t>Trong đó</t>
  </si>
  <si>
    <t>Ngân sách huyện</t>
  </si>
  <si>
    <t>Ngân sách xã</t>
  </si>
  <si>
    <t>Ngân sách tỉnh</t>
  </si>
  <si>
    <t>Thành phố Lào Cai</t>
  </si>
  <si>
    <t>Tổng số điều chuyển các xã chưa khớp với BT</t>
  </si>
  <si>
    <t>Ngân sách cấp huyện</t>
  </si>
  <si>
    <t>Chưa thể hiện số CN về tỉnh tại QĐ 317</t>
  </si>
  <si>
    <t>Điều chỉnh về tỉnh</t>
  </si>
  <si>
    <t>Đơn vị:...........</t>
  </si>
  <si>
    <t>Điều chỉnh về các xã TP LC cũ</t>
  </si>
  <si>
    <t xml:space="preserve">Phường Cam Đường </t>
  </si>
  <si>
    <t xml:space="preserve">Phường Lào Cai </t>
  </si>
  <si>
    <t xml:space="preserve">Xã Cốc San </t>
  </si>
  <si>
    <t xml:space="preserve">Xã Hợp Thành  </t>
  </si>
  <si>
    <t>Điều chỉnh các xã khác</t>
  </si>
  <si>
    <t>Xã:...........</t>
  </si>
  <si>
    <t>Ngân sách cấp xã</t>
  </si>
  <si>
    <t>Điều chỉnh từ các xã của huyện khác về các xã của TPLC cũ</t>
  </si>
  <si>
    <t>Chuyển xã Bản Phiệt từ huyện Bảo Thắng về Phường Lào Cai</t>
  </si>
  <si>
    <t>2.3</t>
  </si>
  <si>
    <t>Điều chỉnh đi các xã khác</t>
  </si>
  <si>
    <t>Chuyển xã Thống Nhất của TPLC cũ nhập vào xã Gia Phú (mới)</t>
  </si>
  <si>
    <t>Ngân sách cấp xã sau sát nhập</t>
  </si>
  <si>
    <t>Đã bao gồm số liệu tại mục 2</t>
  </si>
  <si>
    <t>3.3</t>
  </si>
  <si>
    <t>3.4</t>
  </si>
  <si>
    <t>Thị xã Sa Pa</t>
  </si>
  <si>
    <t>Điều chỉnh về các xã của TX cũ</t>
  </si>
  <si>
    <t>Xã Mường Bo</t>
  </si>
  <si>
    <t xml:space="preserve">Xã Bản Hồ </t>
  </si>
  <si>
    <t>Phường Sa Pa</t>
  </si>
  <si>
    <t>Xã Tả Phìn</t>
  </si>
  <si>
    <t>Xã Tả Van</t>
  </si>
  <si>
    <t>Xã Ngã Chỉ Sơn</t>
  </si>
  <si>
    <t>Ngân sách cấp xã (cũ)</t>
  </si>
  <si>
    <t>3.5</t>
  </si>
  <si>
    <t>3.6</t>
  </si>
  <si>
    <t>Huyện Bảo Thắng</t>
  </si>
  <si>
    <t>Tổng số điều chuyển các xã chưa khớp với TPLC</t>
  </si>
  <si>
    <t>Điều chỉnh về các xã của huyện cũ</t>
  </si>
  <si>
    <t>Xã Phong Hải</t>
  </si>
  <si>
    <t>Xã Xuân Quang</t>
  </si>
  <si>
    <t>Xã Tằng Lỏong</t>
  </si>
  <si>
    <t>Xã Gia Phú</t>
  </si>
  <si>
    <t>Xã Bảo Thắng</t>
  </si>
  <si>
    <t>Điều chỉnh từ các xã của huyện khác về các xã của huyện cũ</t>
  </si>
  <si>
    <t>Huyện Bảo Yên</t>
  </si>
  <si>
    <t>Xã Bảo Yên</t>
  </si>
  <si>
    <t xml:space="preserve">Xã Nghĩa Đô       </t>
  </si>
  <si>
    <t>Xã Thượng Hà</t>
  </si>
  <si>
    <t>Xã Xuân Hòa</t>
  </si>
  <si>
    <t>Xã Phúc Khánh</t>
  </si>
  <si>
    <t>Xã Bảo Hà</t>
  </si>
  <si>
    <t>Chuyển xã Tân An, Tân Thượng của huyện Văn Bàn cũ nhập vào xã Bảo Hà</t>
  </si>
  <si>
    <t>Huyện Bát Xát</t>
  </si>
  <si>
    <t xml:space="preserve">Xã Mường Hum </t>
  </si>
  <si>
    <t>Xã Dền Sáng</t>
  </si>
  <si>
    <t xml:space="preserve">Xã Y Tý </t>
  </si>
  <si>
    <t>Xã A Mú Sung</t>
  </si>
  <si>
    <t>Xã Trịnh Tường</t>
  </si>
  <si>
    <t xml:space="preserve">Xã Bản Xèo </t>
  </si>
  <si>
    <t>Xã Bát Xát</t>
  </si>
  <si>
    <t>3.7</t>
  </si>
  <si>
    <t>Huyện Bắc Hà</t>
  </si>
  <si>
    <t>Xã Cốc Lầu</t>
  </si>
  <si>
    <t>Xã Bảo Nhai</t>
  </si>
  <si>
    <t>Xã Tả Củ Tỷ</t>
  </si>
  <si>
    <t>Xã Bản Liền</t>
  </si>
  <si>
    <t>Xã Lùng Phình</t>
  </si>
  <si>
    <t xml:space="preserve"> Xã Bắc Hà</t>
  </si>
  <si>
    <t xml:space="preserve">Chuyển xã Lủng Thẩn của huyện SMC nhập vào xã Lùng Phình </t>
  </si>
  <si>
    <t>Huyện Si Ma Cai</t>
  </si>
  <si>
    <t>Xã Si Ma Cai</t>
  </si>
  <si>
    <t>Xã Sín Chéng</t>
  </si>
  <si>
    <t xml:space="preserve">Chuyển xã Lủng Thẩn nhập vào xã Lùng Phình </t>
  </si>
  <si>
    <t>Huyện Văn Bàn</t>
  </si>
  <si>
    <t>Xã Võ Lao</t>
  </si>
  <si>
    <t xml:space="preserve">Xã Khánh Yên </t>
  </si>
  <si>
    <t>Xã Văn Bàn</t>
  </si>
  <si>
    <t>Xã Dương Quỳ</t>
  </si>
  <si>
    <t>Xã Chiềng Ken</t>
  </si>
  <si>
    <t>Xã Minh Lương</t>
  </si>
  <si>
    <t>Xã Nậm Chày</t>
  </si>
  <si>
    <t>Xã Nậm Xé</t>
  </si>
  <si>
    <t>3.8</t>
  </si>
  <si>
    <t>IX</t>
  </si>
  <si>
    <t>Huyện Mường Khương</t>
  </si>
  <si>
    <t>Xã Pha Long</t>
  </si>
  <si>
    <t xml:space="preserve">Xã Mường Khương </t>
  </si>
  <si>
    <t xml:space="preserve">Xã Bản Lầu </t>
  </si>
  <si>
    <t>Xã Cao Sơn</t>
  </si>
  <si>
    <t>Chuyển xã Tòng Sành từ huyện Bát Xát về Phường Lào Cai</t>
  </si>
  <si>
    <t>Xong</t>
  </si>
  <si>
    <t>Xã Bản Cái, Cốc Lầu, Nậm Lúc</t>
  </si>
  <si>
    <t>-</t>
  </si>
  <si>
    <t>Biểu 01-NS</t>
  </si>
  <si>
    <t>ĐVT: triệu đồng</t>
  </si>
  <si>
    <t>Diễn giải</t>
  </si>
  <si>
    <t>Điều chỉnh tăng ký này</t>
  </si>
  <si>
    <t xml:space="preserve">Điều chỉnh giảm kỳ này </t>
  </si>
  <si>
    <t xml:space="preserve">Dự toán sau điều chỉnh </t>
  </si>
  <si>
    <t>A</t>
  </si>
  <si>
    <t xml:space="preserve">BỔ SUNG CÂN ĐỐI </t>
  </si>
  <si>
    <t>A1</t>
  </si>
  <si>
    <t>A2</t>
  </si>
  <si>
    <t>Kinh phí chi thường xuyên theo định mức biên chế</t>
  </si>
  <si>
    <t>KP hoạt động của thôn, tổ dân phố theo NQ 16/NQ-HĐND ngày 8/12/2023</t>
  </si>
  <si>
    <t>Hội đồng nhân dân (Phụ cấp đại biểu HĐND và kinh phí hoạt động theo NQ 18/2021/NQ-HĐND tỉnh Lào Cai)</t>
  </si>
  <si>
    <t>Lương, phụ cấp theo lương</t>
  </si>
  <si>
    <t>Chi hoạt động của cơ quan Đảng Cộng sản Việt Nam</t>
  </si>
  <si>
    <t>Chi lương, phụ cấp lương và các khoản có tính chất lương</t>
  </si>
  <si>
    <t>Chi thường xuyên theo định mức biên chế</t>
  </si>
  <si>
    <t>Chi hỗ trợ hoạt động của các Ban công tác mặt trận, Chi hội phụ nữ, Chi hội nông dân, Chi hội cựu chiến binh, Đoàn thanh niên ở các thôn</t>
  </si>
  <si>
    <t xml:space="preserve">Chi phí hỗ trợ giám sát đầu tư cộng đồng theo NĐ 29/2021/NĐ-CP ngày 26/3/2021 của CP </t>
  </si>
  <si>
    <t>Kinh phí hoạt động Ban Thanh tra nhân dân theo TT 63/2017/TT-BTC</t>
  </si>
  <si>
    <t>Hỗ trợ ban công tác mặt trận ở khu dân cư (7tr/khu dân cư/năm)</t>
  </si>
  <si>
    <t xml:space="preserve"> Kinh phí thực hiện Cuộc vận động “Toàn dân đoàn kết xây dựng nông thôn mới, đô thị văn minh” </t>
  </si>
  <si>
    <t>Kinh phí hoạt động của cụm loa truyền thanh thôn, bản, tổ dân phố (5tr/cụm loa/năm)</t>
  </si>
  <si>
    <t>Phụ cấp PGĐ TTHTCĐ xã</t>
  </si>
  <si>
    <t>Trường PTDTBT TH Lùng Phình 2</t>
  </si>
  <si>
    <t>Trường PTDTBT TH Lùng Phình 1</t>
  </si>
  <si>
    <t xml:space="preserve">Trường MN Lùng Phình </t>
  </si>
  <si>
    <t>Trường MN Tả Văn Chư</t>
  </si>
  <si>
    <t>Trường Tiểu học và THCS Tả Văn Chư</t>
  </si>
  <si>
    <t>Trường PTDT BT THCS số 1 Lùng Thẩn</t>
  </si>
  <si>
    <t>Trường MN số 2 Lùng Thẩn</t>
  </si>
  <si>
    <t>Trường PTDTBT TH số 1 Lùng Thẩn</t>
  </si>
  <si>
    <t>Trường PTDTBT TH số 2 Lùng Thẩn</t>
  </si>
  <si>
    <t>Trường PTDTBT THCS số 2 Lùng Thẩn</t>
  </si>
  <si>
    <t>Chi khác Quốc phòng</t>
  </si>
  <si>
    <t>B</t>
  </si>
  <si>
    <t>Phụ cấp cán bộ không chuyên trách (Trưởng thôn)</t>
  </si>
  <si>
    <t>Tiền thưởng theo NĐ 73</t>
  </si>
  <si>
    <t>Phòng Kinh tế</t>
  </si>
  <si>
    <t xml:space="preserve">Kinh phí hỗ trợ thực hiện công tác hòa giải ở cơ sở trên địa bàn các huyện, thành phố theo Thông tư liên tịch số 100/2014/TTLT-BTC-BTP ngày 30/7/2014 theo NQ số 20/2023  </t>
  </si>
  <si>
    <t>Chi phụ cấp cán bộ không chuyên trách</t>
  </si>
  <si>
    <t>Sự nghiệp y tế</t>
  </si>
  <si>
    <t>Trạm y tế xã</t>
  </si>
  <si>
    <t>Lương, chi hoạt động theo định mức</t>
  </si>
  <si>
    <t xml:space="preserve">Phụ cấp nhân viên y tế thôn bản </t>
  </si>
  <si>
    <t>Chi đảm bảo xã hội</t>
  </si>
  <si>
    <t>Phòng Văn hóa xã hội</t>
  </si>
  <si>
    <t xml:space="preserve">Kinh phí thực hiện các chế độ chính sách cho các đối tượng bảo trợ xã hội theo Nghị định 20/2021/NĐ-CP ngày 15/3/2021 của Chính phủ; Nghị định 76/2024/NĐ-CP ngày 1/7/2024 của Chính phủ; Nghị định 176/2025/NĐ-CP </t>
  </si>
  <si>
    <t>Phụ cấp cán bộ không chuyên trách (Dân quân tự vệ)</t>
  </si>
  <si>
    <t>Chi An ninh</t>
  </si>
  <si>
    <t>Phụ cấp cán bộ không chuyên trách (Tổ bảo vệ ANTT)</t>
  </si>
  <si>
    <t>X</t>
  </si>
  <si>
    <t>TỔNG CỘNG</t>
  </si>
  <si>
    <t xml:space="preserve">CHI ĐẦU TƯ </t>
  </si>
  <si>
    <t>Chi đầu tư nguồn thu tiền sử dụng đất</t>
  </si>
  <si>
    <t>Chi đầu tư cấp xã</t>
  </si>
  <si>
    <t>Chi điều tiết NS cấp trên</t>
  </si>
  <si>
    <t>Nguồn thu tiền sử dụng đất</t>
  </si>
  <si>
    <t>Chi từ nguồn tăng thu tiết kiệm chi</t>
  </si>
  <si>
    <t>CHI THƯỜNG XUYÊN</t>
  </si>
  <si>
    <t xml:space="preserve">Chi hoạt động của các cơ quan nhà nước </t>
  </si>
  <si>
    <t xml:space="preserve">Văn phòng HĐND &amp; UBND </t>
  </si>
  <si>
    <t xml:space="preserve">Kinh phí hỗ trợ cán bộ, công chức Theo NQ 03/2025NQ-HĐND ngày 31/7/2025 </t>
  </si>
  <si>
    <t xml:space="preserve"> Chi sửa chữa xe ô tô phục vụ công tác; mua sắm, sửa chữa máy móc, thiết bị làm việc</t>
  </si>
  <si>
    <t xml:space="preserve">Chi hoạt động của  VP HĐND, UBND </t>
  </si>
  <si>
    <t>+</t>
  </si>
  <si>
    <t xml:space="preserve">Phụ cấp ĐB HĐND </t>
  </si>
  <si>
    <t>Chi hoạt động của HĐND kinh phí hoạt động theo NQ 18/2021/NQ-HĐND tỉnh Lào Cai)</t>
  </si>
  <si>
    <t xml:space="preserve"> Ban chỉ đạo thực hiện Quy chế dân chủ ở cơ sở</t>
  </si>
  <si>
    <t>Kinh phí chính sách đãi ngộ đối với công chức VC làm việc tại bộ phạn  cửa( Chi bồi dưỡng đối với công chức là tại bộ phận 1 của)</t>
  </si>
  <si>
    <t>Phụ cấp trách nhiệm cấp ủy cấp xã theo Quy định số 169-QĐ/TW ngày 24/6/2008 của Ban Bí thư</t>
  </si>
  <si>
    <t>Chi hoạt động của Đảng ủy</t>
  </si>
  <si>
    <t>Chi hoạt động công tác đảng theo Quyết định 99-QĐ/TW ngày 30/5/2012 của ban chấp hành TW</t>
  </si>
  <si>
    <t>Chi thực hiện nhiệm vụ đẩy mạnh học tập và làm theo tấm gương đạo đức Hồ Chí Minh theo Thông tư 38/2012/TT-BTC</t>
  </si>
  <si>
    <t>Ban chỉ đạo 35 về bảo vệ nền tảng tư tưởng của Đảng theo Hướng dẫn số 06-HD/BCĐ ngày 15/7/2025 của Ban Chỉ đạo 35 Trung ương</t>
  </si>
  <si>
    <t>Phụ cấp báo cáo viên cấp xã theo Hướng dẫn số 06-HD/TCTW-BTGTW ngày 15/8/2011 của Ban Tổ chức Trung ương, Ban Tuyên giáo Trung ương</t>
  </si>
  <si>
    <t>Chi sửa chữa xe ô tô phục vụ công tác; mua sắm, sửa chữa máy móc, thiết bị làm việc</t>
  </si>
  <si>
    <t>Chi hoạt động của Ủy ban MTTQ Việt Nam</t>
  </si>
  <si>
    <t>Chi hoạt động của UBMTTQ</t>
  </si>
  <si>
    <t xml:space="preserve"> Kinh phí Ban chỉ đạo Cuộc vận động “Toàn dân đoàn kết xây dựng nông thôn mới, đô thị văn minh” </t>
  </si>
  <si>
    <t>Chi thăm hỏi mặt trận tổ quốc</t>
  </si>
  <si>
    <t>Chi hỗ trợ hoạt động nghiệp vụ đặc thù</t>
  </si>
  <si>
    <t>Sự nghiệp văn hóa - truyền thông, phát thanh - TH</t>
  </si>
  <si>
    <t>Hỗ trợ kinh phí duy trì hoạt động của Trung tâm văn hóa cấp xã( 10 trđ/ xã/ năm)</t>
  </si>
  <si>
    <t>Hỗ trợ hoạt động nhà văn hóa cộng đồng khu dân cư( 5trđ/NVH/năm)</t>
  </si>
  <si>
    <t>Kinh phí hoạt động của Đài truyền thanh cấp xã( 15trđ/ trạm PT/năm)</t>
  </si>
  <si>
    <t>Sự nghiệp Giáo dục đào tạo</t>
  </si>
  <si>
    <t>Trường Mầm Non số 1 xã Lùng Thẩn</t>
  </si>
  <si>
    <t>Chi hoạt động thường xuyên theo định mức biên chế</t>
  </si>
  <si>
    <t xml:space="preserve">Chi chung cho sự nghiệp y tế </t>
  </si>
  <si>
    <t>Chi đóng BHYT đối với đối tượng BTXH, đối tượng hưu trí</t>
  </si>
  <si>
    <t>Hỗ trợ kinh phí tặng quà chúc thọ, mừng thọ</t>
  </si>
  <si>
    <t xml:space="preserve">Phòng kinh tế </t>
  </si>
  <si>
    <t xml:space="preserve">Kinh phí hỗ trợ Tiền điện hộ nghèo, hộ chính sách xã hội </t>
  </si>
  <si>
    <t xml:space="preserve">Công an xã </t>
  </si>
  <si>
    <t>Chi  hoạt động  khác</t>
  </si>
  <si>
    <t xml:space="preserve">Chi hoạt động của Tổ an ninh trật tự </t>
  </si>
  <si>
    <t>Văn phòng HĐND &amp; UBND</t>
  </si>
  <si>
    <t>Chi quốc phòng</t>
  </si>
  <si>
    <t>Chi công  tác huấn luyện dân quân</t>
  </si>
  <si>
    <t>Chi các hoạt động kinh tế</t>
  </si>
  <si>
    <t>Sự nghiệp nông lâm nghiệp, thủy lợi</t>
  </si>
  <si>
    <t>Phòng kinh tế</t>
  </si>
  <si>
    <t xml:space="preserve"> Hỗ trợ hoạt động khuyến nông viên cơ sở</t>
  </si>
  <si>
    <t>Sự nghiệp kinh tế khác</t>
  </si>
  <si>
    <t>Sự nghiệp bảo vệ môi trường</t>
  </si>
  <si>
    <t>Chi sự nghiệp bảo vệ môi trường (trong đó có hỗ trợ công tác BVMT tại địa bàn có hoạt động khai thác khoáng sản)</t>
  </si>
  <si>
    <t>Chi khác</t>
  </si>
  <si>
    <t xml:space="preserve">Kinh phí hỗ trợ trích lập quỹ thi đua khen thưởng </t>
  </si>
  <si>
    <t>A3</t>
  </si>
  <si>
    <t>KINH PHÍ DỰ PHÒNG</t>
  </si>
  <si>
    <t xml:space="preserve"> Chi phổ biến tuyên truyền giáo dục pháp luật; xây dựng, rà soát kiểm tra văn bản quy phạm pháp luật( 50trd/xã)</t>
  </si>
  <si>
    <t xml:space="preserve"> Chi khoán phục vụ, bảo vệ cơ quan đảng, QLNN, HĐND (định xuất 2 người/xã/năm*5trđ/người/tháng*12)</t>
  </si>
  <si>
    <t>Chi chỉnh trang khuân viên trụ sở xã, phường</t>
  </si>
  <si>
    <t>BỔ SUNG CÓ MỤC TIÊU NS TỈNH</t>
  </si>
  <si>
    <t xml:space="preserve">Nguồn vốn XDCB tập trung </t>
  </si>
  <si>
    <t>Ban chỉ đạo xoá đói giảm nghèo</t>
  </si>
  <si>
    <t xml:space="preserve">Dự toán đã giao tại Nghị quyết số 35/NQ-HĐND ngày 22/12/2025 </t>
  </si>
  <si>
    <t>Kinh phí hoạt động của HĐND xã theo Nghị quyết 36/2025/NQ-HĐND tỉnh Lào Cai</t>
  </si>
  <si>
    <t>Kinh phí tuyên truyền phòng ngừa tội phạm về ma túy</t>
  </si>
  <si>
    <t xml:space="preserve">Kinh phí tiền thưởng huy hiệu Đảng đối với đảng viên </t>
  </si>
  <si>
    <t>Kinh phí thưởng thành tích xuất sắc đột xuất  trong công tác bầu cử Quốc hội và HĐND</t>
  </si>
  <si>
    <t xml:space="preserve">Kinh phí mua  que thử ma túy </t>
  </si>
  <si>
    <t>Kinh phí thực hiện chính sách chế độ ưu đãi người có công với cách mạng  năm 2026</t>
  </si>
  <si>
    <t>Kinh phí thực hiện chính sách đối với người hoạt động không chuyên trách ở cấp xã nghỉ việc theo Nghị định 154/2025/NĐ-CP ngày 15/6/2025 của Chính Phủ</t>
  </si>
  <si>
    <t>Kinh phí phục vụ công tác bầu cử Quốc hội và HĐND</t>
  </si>
  <si>
    <t xml:space="preserve">Kinh phí ra quân xây dựng nông thôn mới </t>
  </si>
  <si>
    <t>Kinh phí hỗ trợ bồi dưỡng, thi học sinh giỏi cấp tỉnh năm học 2025-2026</t>
  </si>
  <si>
    <t>Kinh phí tổ chức lế hội" Điểm hẹn ngắm hoa lê, say hoa mận" năm 2026</t>
  </si>
  <si>
    <t>Kinh phí tổ chức cuộc thi "Sáng kiến bảo đảm trật tự trường học về phòng, chống bạo lực học đường" ngành GD xã Lùng Phình năm 2026</t>
  </si>
  <si>
    <t xml:space="preserve"> Ban bảo vệ chăm sóc sức khoẻ cấp xã</t>
  </si>
  <si>
    <t xml:space="preserve">Trung tâm phục vụ hành chính công </t>
  </si>
  <si>
    <t>Chi kiến thiết thị chính( đã bao gồm chi phí duy trì hệ thống điện chiếu sáng công cộng...)</t>
  </si>
  <si>
    <t>Kinh phí trang trí cây xanh xung quanh cơ quan</t>
  </si>
  <si>
    <t xml:space="preserve">Trung tâm dịch vụ tổng hợp </t>
  </si>
  <si>
    <t>Kinh phí tiền lương và phụ cấp</t>
  </si>
  <si>
    <t>Kinh phí hoạt động theo biên chế( 8 biên chế x 16,3 triệu đồng/ biên chế)</t>
  </si>
  <si>
    <t>Kinh phí tiền thưởng theo NĐ 73</t>
  </si>
  <si>
    <t xml:space="preserve">Ban chỉ huy quân sự xã </t>
  </si>
  <si>
    <t>Kinh phí quân nhân xuất ngũ trở về địa phương, tiễn quân lên đường nhập ngũ năm 2026</t>
  </si>
  <si>
    <t xml:space="preserve">Kinh phí phục vụ công tác bầu cử đại biểu  Quốc hội khóa XVI và đại biểu HĐND các cấp tỉnh Lào Cai, nhiệm kỳ 2026-2031 đối với các cơ quan, đơn vị, các tổ bầu cử </t>
  </si>
  <si>
    <t>Kinh phí thực hiện chế độ hỗ trợ chi phí học tập NĐ 81/2021; NĐ 238; Hỗ trợ học sinh, sinh viên theo NĐ 53 của CP</t>
  </si>
  <si>
    <t>Kinh phí mua thẻ BHYT của các đối tượng tham gia kháng chiến và bảo vệ Tổ Quốc</t>
  </si>
  <si>
    <t xml:space="preserve">Kinh phí hỗ trợ khắc phục thiệt hại do mưa kèm dông lốc ngày 29/3/2026 trên địa bàn xã Lùng Phình  </t>
  </si>
  <si>
    <t xml:space="preserve">CHƯƠNG TRÌNH MTQG </t>
  </si>
  <si>
    <t>Vốn đầu tư</t>
  </si>
  <si>
    <t>Vốn sự nghiệp</t>
  </si>
  <si>
    <t>Vốn đầu tư ngân sách tỉnh bổ sung có mục tiêu( Nguồn sử dụng đất)</t>
  </si>
  <si>
    <t xml:space="preserve">Vốn đầu tư  ngân sách tỉnh bổ sung có mục tiêu cho ngân sách xã thực hiện các dự án GTNT </t>
  </si>
  <si>
    <t>Nguồn năm 2025- 2026</t>
  </si>
  <si>
    <t>Kinh phí thực hiện chỉnh lý, số hóa hồ sơ tài liệu lưu trữ</t>
  </si>
  <si>
    <t>Tạm cấp từ nguồn dự phòng</t>
  </si>
  <si>
    <t xml:space="preserve">Kinh phí mua sắm tài sản máy móc thiết bị, bàn ghế làm việc </t>
  </si>
  <si>
    <t xml:space="preserve"> VI</t>
  </si>
  <si>
    <t xml:space="preserve">VIII </t>
  </si>
  <si>
    <t xml:space="preserve"> XI</t>
  </si>
  <si>
    <t>XII</t>
  </si>
  <si>
    <t>Kinh phí duy tu, bảo dưỡng thường xuyên đường GTNT, công trình thủy lợi năm 2026 theo Nghị quyết 08/2023/NQ-HĐND ngày 06/7/2023 của HĐND tỉnh Lào Cai</t>
  </si>
  <si>
    <t>Kinh phí mua sắm, thay thế thiết bị hệ thống tăng âm, loa đài, hệ thống đèn sân khấu…</t>
  </si>
  <si>
    <t>(Kèm theo Nghị quyết số 29/NQ-HĐND  ngày 15 tháng 11 năm 2025 của HĐND xã Lùng Phình)</t>
  </si>
  <si>
    <t>(Kèm theo Tờ trình số 171 /TTr-PKT ngày  11  tháng 11 năm 2025 của Phòng Kinh tế xã Lùng Phình)</t>
  </si>
  <si>
    <t>CHỈ TIÊU</t>
  </si>
  <si>
    <t xml:space="preserve">Dự toán điều chỉnh trong kỳ </t>
  </si>
  <si>
    <t xml:space="preserve">Dự toán sau điều chỉnh  </t>
  </si>
  <si>
    <t>TỔNG THU NSNN TRÊN ĐỊA BÀN</t>
  </si>
  <si>
    <t>TỔNG THU NỘI ĐỊA</t>
  </si>
  <si>
    <t>*</t>
  </si>
  <si>
    <t>Thu tiền sử dụng đất</t>
  </si>
  <si>
    <t>Thu nội địa không bao gồm tiền sử dụng đất</t>
  </si>
  <si>
    <t>Thu từ khu vực doanh nghiệp do Nhà nước giữ vai trò chủ đạo Trung ương quản lý</t>
  </si>
  <si>
    <t xml:space="preserve">Thuế giá trị gia tăng và tiền chậm nộp thuế giá trị gia tăng </t>
  </si>
  <si>
    <t>Lệ phí trước bạ</t>
  </si>
  <si>
    <t>Thuế tiêu thụ đặc biệt và tiền chậm nộp thuế tiêu thụ đặc biệt thu từ hàng hóa, dịch vụ trong nước</t>
  </si>
  <si>
    <t>Thuế tài nguyên</t>
  </si>
  <si>
    <t>Tài nguyên khoáng sản kim loại</t>
  </si>
  <si>
    <t>Tài nguyên nước, tài nguyên khoáng sản phi kim loại và các loại tài nguyên, khoáng sản còn lại</t>
  </si>
  <si>
    <t>Thu từ khu vực doanh nghiệp do Nhà nước giữ vai trò chủ đạo địa phương quản lý (trừ thu từ hoạt động xổ số kiến thiết)</t>
  </si>
  <si>
    <t xml:space="preserve">Thuế thu nhập doanh nghiệp và tiền chậm nộp thuế thu nhập doanh nghiệp </t>
  </si>
  <si>
    <t>Thu từ khu vực có vốn đầu tư nước ngoài từ 51% trở lên; nhà thầu chính ngoài nước; nhà thầu phụ ngoài nước</t>
  </si>
  <si>
    <t>Thuế giá trị gia tăng và tiền chậm nộp thuế giá trị gia tăng</t>
  </si>
  <si>
    <t>Thuế thu nhập doanh nghiệp và tiền chậm nộp thuế thu nhập doanh nghiệp</t>
  </si>
  <si>
    <t>Thu từ khu vực kinh tế ngoài quốc doanh</t>
  </si>
  <si>
    <t>Thuế giá trị gia tăng và tiền chậm nộp thuế giá trị gia tăng (trừ thu từ hoạt động xuất nhập khẩu)</t>
  </si>
  <si>
    <t>Trong đó: Thu từ hàng hóa dịch vụ nhập khẩu bán ra trong nước</t>
  </si>
  <si>
    <t>Hộ gia đình, cá nhân</t>
  </si>
  <si>
    <t>Doanh nghiệp</t>
  </si>
  <si>
    <t xml:space="preserve">Thuế bảo vệ môi trường và tiền chậm nộp thuế bảo vệ môi trường </t>
  </si>
  <si>
    <t>Thu từ hàng hóa nhập khẩu</t>
  </si>
  <si>
    <t>Thu từ hàng hóa sản xuất trong nước</t>
  </si>
  <si>
    <t>Thuế thu nhập cá nhân và tiền chậm nộp thuế thu nhập cá nhân</t>
  </si>
  <si>
    <t>Thuế TNCN từ tiền lương, tiền công</t>
  </si>
  <si>
    <t>Thuế TNCN từ hoạt động sản xuất kinh doanh của cá nhân</t>
  </si>
  <si>
    <t>Thuế TNCN từ đầu tư vốn của cá nhân, từ chuyển nhượng vốn, chuyển nhượng bất động sản, nhận thừa kế và nhận quà tặng là bất động sản và từ các nguồn khác</t>
  </si>
  <si>
    <t xml:space="preserve">Lệ phí trước bạ </t>
  </si>
  <si>
    <t>Lệ phí trước bạ ô tô, xe máy</t>
  </si>
  <si>
    <t>Lệ phí trước bạ khác</t>
  </si>
  <si>
    <t>Thuế sử dụng đất nông nghiệp</t>
  </si>
  <si>
    <t>Thuế sử dụng đất phi nông nghiệp</t>
  </si>
  <si>
    <t>Thu phí, lệ phí</t>
  </si>
  <si>
    <t>10.1</t>
  </si>
  <si>
    <t>Phí bảo vệ môi trường đối với khai thác khoáng sản</t>
  </si>
  <si>
    <t>10.2</t>
  </si>
  <si>
    <t>Phí sử dụng công trình kết cấu hạ tầng, công trình dịch vụ, tiện ích công cộng trong khu vực cửa khẩu tỉnh Lào Cai</t>
  </si>
  <si>
    <t>10.3</t>
  </si>
  <si>
    <t>Lệ phí môn bài</t>
  </si>
  <si>
    <t>Thu từ doanh nghiệp và các tổ chức khác</t>
  </si>
  <si>
    <t>Thu từ hộ gia đình, cá nhân</t>
  </si>
  <si>
    <t>10.4</t>
  </si>
  <si>
    <t xml:space="preserve">Phí tham quan du lịch </t>
  </si>
  <si>
    <t>Gồm: Do cơ quan tỉnh quản lý thu</t>
  </si>
  <si>
    <t>10.5</t>
  </si>
  <si>
    <t>Phần phải nộp ngân sách nhà nước theo quy định của pháp luật của các loại phí, lệ phí khác</t>
  </si>
  <si>
    <t>Phí, lệ phí do cơ quan, đơn vị thuộc Trung ương quản lý thực hiện thu</t>
  </si>
  <si>
    <t>Phí, lệ phí do cơ quan, đơn vị thuộc cấp tỉnh quản lý thực hiện thu</t>
  </si>
  <si>
    <t>Phí, lệ phí do cơ quan, đơn vị thuộc cấp huyện quản lý thực hiện thu</t>
  </si>
  <si>
    <t>Phí, lệ phí do cơ quan thuộc cấp xã quản lý thực hiện thu</t>
  </si>
  <si>
    <t>Tiền sử dụng đất</t>
  </si>
  <si>
    <t>Mã quỹ đất 4.1: Thu từ đấu giá quyền sử dụng đất, gồm: Đất gắn với nhà và tài sản trên đất thu hồi của các cơ quan, đơn vị cấp tỉnh, cơ quan Trung ương; thu hồi của các cơ quan đơn vị cấp huyện trên địa bàn các phường thuộc thành phố Lào Cai và thị xã Sa Pa; đất khu công nghiệp; đất dôi dư sau kiểm kê, đo đạc lại do cơ quan cấp tỉnh thực hiện; đấu giá các quỹ đất khác do cơ quan, đơn vị cấp tỉnh quản lý mà cấp huyện không được giao nhiệm vụ giải phóng mặt bằng. Thu từ chuyển mục đích sử dụng đất của các tổ chức</t>
  </si>
  <si>
    <t>Mã quỹ đất 4.2: Thu từ đấu giá các quỹ đất được tạo ra bởi các dự án đầu tư kết cấu hạ tầng, dự án phát triển nhà ở; từ giao đất tái định cư được đầu tư bằng toàn bộ vốn ngân sách tỉnh, ngân sách Trung ương mà cấp huyện được giao nhiệm vụ giải phóng mặt bằng</t>
  </si>
  <si>
    <t>Mã quỹ đất 4.3: Thu từ đấu giá quyền sử dụng đất, gồm: Đất gắn với nhà và tài sản trên đất thu hồi của các cơ quan, đơn vị cấp huyện và cấp xã (trừ các cơ quan đơn vị cấp huyện và cấp xã trên địa bàn các phường thuộc thành phố Lào Cai và thị xã Sa Pa); các quỹ đất được tạo ra bởi các dự án kết cấu hạ tầng, dự án phát triển nhà ở có vốn đầu tư của ngân sách cấp huyện; các quỹ đất khác do cơ quan, đơn vị cấp huyện quản lý; đất dôi dư sau kiểm kê, đo đạc lại do cơ quan cấp huyện thực hiện. Thu từ giao đất tái định cư có vốn đầu tư của ngân sách cấp huyện;</t>
  </si>
  <si>
    <t>Thu tiền sử dụng đất từ dự án phát triển nhà ở được lựa chọn nhà đầu tư thông qua hình thức đấu thầu (bao gồm cả thu từ quỹ đất tái định cư thuộc dự án)</t>
  </si>
  <si>
    <t>Mã quỹ đất 4.4.1: Trên địa bàn thành phố Lào Cai, thị xã Sa Pa, xã Y Tý</t>
  </si>
  <si>
    <t>Mã quỹ đất 4.4.2: Trên địa bàn các huyện</t>
  </si>
  <si>
    <t>Mã quỹ đất 4.5: Thu từ đấu giá các quỹ đất dôi dư sau kiểm kê, đo đạc lại do cấp xã thực hiện; đất xen kẹp giữa các làn dân cư</t>
  </si>
  <si>
    <t>Thu tiền chuyển mục đích sử dụng đất, công nhận quyền sử dụng đất của cá nhân, hộ gia đình; thu từ các quỹ đất khác trên địa bàn các xã, phường, thị trấn ngoài quỹ đất tại các mục nêu trên</t>
  </si>
  <si>
    <t>Mã quỹ đất 4.6.1: Trên địa bàn các phường, thị trấn</t>
  </si>
  <si>
    <t>Mã quỹ đất 4.6.2: Trên địa bàn các xã</t>
  </si>
  <si>
    <t>Mã quỹ đất 4.7: Trường hợp ghi thu - ghi chi ngân sách số tiền sử dụng đất được đối trừ vào tiền bồi thường, giải phóng mặt bằng mà nhà đầu tư đã ứng trước</t>
  </si>
  <si>
    <t xml:space="preserve">Tiền cho thuê đất, thuê mặt nước </t>
  </si>
  <si>
    <t>12.1</t>
  </si>
  <si>
    <t>Tiền cho thuê đất</t>
  </si>
  <si>
    <t>Tiền cho thuê đất thu tiền hàng năm</t>
  </si>
  <si>
    <t>Tiền cho thuê đất trong khu công nghiệp, khu chế xuất</t>
  </si>
  <si>
    <t>Tiền cho thuê đất thu tiền một lần cho cả thời gian thuê và tiền cho thuê đất khác</t>
  </si>
  <si>
    <t>12.2</t>
  </si>
  <si>
    <t>Tiền cho thuê mặt nước</t>
  </si>
  <si>
    <t>Tiền cho thuê nhà ở thuộc sở hữu nhà nước (không bao gồm nhà do các cơ quan, đơn vị thuộc trung ương quản lý)</t>
  </si>
  <si>
    <t>Nhà do cơ quan, đơn vị thuộc cấp tỉnh quản lý</t>
  </si>
  <si>
    <t>Nhà do cơ quan thuộc cấp xã quản lý</t>
  </si>
  <si>
    <t>Các khoản thu từ hoạt động xổ số kiến thiết và tiền chậm nộp các khoản thu từ xổ số kiến thiết</t>
  </si>
  <si>
    <t>Các khoản thu hồi vốn của ngân sách địa phương đầu tư tại các tổ chức kinh tế (bao gồm cả gốc và lãi); thu cổ tức, lợi nhuận được chia tại các Công ty cổ phần, Công ty trách nhiệm hữu hạn hai thành viên trở lên có vốn góp của nhà nước do Ủy ban nhân dân tỉnh đại diện chủ sở hữu; thu phần lợi nhuận sau thuế còn lại sau khi trích lập các quỹ của doanh nghiệp nhà nước do Ủy ban nhân dân tỉnh đại diện chủ sở hữu.</t>
  </si>
  <si>
    <t>Thu từ quỹ đất công ích và hoa lợi công sản khác</t>
  </si>
  <si>
    <t>Thu từ cấp quyền khai thác khoáng sản, cấp quyền khai thác tài nguyên nước và tiền chậm nộp từ cấp quyền khai thác khoáng sản, cấp quyền khai thác tài nguyên nước</t>
  </si>
  <si>
    <t>Do trung ương cấp quyền</t>
  </si>
  <si>
    <t>Do tỉnh cấp quyền</t>
  </si>
  <si>
    <t>Thu huy động đóng góp từ khai thác khoáng sản để đầu tư hạ tầng giao thông và khắc phục môi trường từ các tổ chức, cá nhân theo quy định của pháp luật</t>
  </si>
  <si>
    <t>Các khoản thu huy động, đóng góp khác</t>
  </si>
  <si>
    <t>Các khoản thu khác của ngân sách theo quy định của pháp luật (bao gồm cả tiền chậm nộp thuế tài nguyên và tiền chậm nộp các khoản khác do ngành thuế quản lý)</t>
  </si>
  <si>
    <t>Trong đó: Thu phạt ATGT</t>
  </si>
  <si>
    <t xml:space="preserve">- Tiền bảo vệ, phát triển đất trồng lúa </t>
  </si>
  <si>
    <t>Thu khác của ngân sách trung ương</t>
  </si>
  <si>
    <t>Thu khác của ngân sách địa phương do cơ quan, đơn vị cấp tỉnh thực hiện thu</t>
  </si>
  <si>
    <t>THU TỪ HOẠT ĐỘNG XUẤT NHẬP KHẨU</t>
  </si>
  <si>
    <t>TỔNG THU NGÂN SÁCH ĐỊA PHƯƠNG</t>
  </si>
  <si>
    <t xml:space="preserve">I </t>
  </si>
  <si>
    <t>Thu từ thuế, phí và thu khác từ nội địa</t>
  </si>
  <si>
    <t>Trong đó: Tiền thuê  đất</t>
  </si>
  <si>
    <t>Thu để lại đầu tư từ tiền sử dụng đất</t>
  </si>
  <si>
    <t>Nguồn thu tiền sử dụng đất cấp xã</t>
  </si>
  <si>
    <t>Nguồn tăng thu ngân sách xã</t>
  </si>
  <si>
    <t>Thu bổ sung từ ngân sách tỉnh</t>
  </si>
  <si>
    <t>Các khoản bổ sung cân đối</t>
  </si>
  <si>
    <t>Các khoản bổ sung có mục tiêu</t>
  </si>
  <si>
    <t>Thu chuyển nguồn ngân sách</t>
  </si>
  <si>
    <t>Thu kết dư ngân sách</t>
  </si>
  <si>
    <t>DỰ TOÁN THU NGÂN SÁCH NHÀ NƯỚC CỦA XÃ LÙNG PHÌNH NĂM 2026</t>
  </si>
  <si>
    <t>Biểu 02-NS</t>
  </si>
  <si>
    <t>TỔNG CHI NGÂN SÁCH ĐỊA PHƯƠNG</t>
  </si>
  <si>
    <t>Chi đầu tư phát triển</t>
  </si>
  <si>
    <t>Chi thường xuyên</t>
  </si>
  <si>
    <t>Lệ phí trước bạ nhà, đất trên địa bàn các xã</t>
  </si>
  <si>
    <t>Do cơ quan cấp huyện quản lý thu</t>
  </si>
  <si>
    <t xml:space="preserve">Thu khác của ngân sách địa phương  </t>
  </si>
  <si>
    <t xml:space="preserve">Các khoản thu ngân sách huyện, thị xã, thành phố hưởng 100%  </t>
  </si>
  <si>
    <t xml:space="preserve">Các khoản thu phân chia theo tỷ lệ %  </t>
  </si>
  <si>
    <t xml:space="preserve">Các mã quỹ đất ngân sách  xã  hưởng 100%  </t>
  </si>
  <si>
    <t>Các mã quỹ đất phân chia theo tỷ lệ % giữa ngân sách cấp tỉnh và ngân sách cấp xã</t>
  </si>
  <si>
    <t>Vốn đầu tư ngân sách tỉnh bổ sung có mục tiêu</t>
  </si>
  <si>
    <t>Vốn đầu tư(  Thu tiền sử dụng đất ngân sách xã)</t>
  </si>
  <si>
    <t>Vốn đầu tư Nguồn tăng thu tiết kiệm chi ngân sách xã</t>
  </si>
  <si>
    <t>Vốn đầu tư Nguồn dự phòng Ngân sách TW</t>
  </si>
  <si>
    <t xml:space="preserve"> </t>
  </si>
  <si>
    <r>
      <t>TỔNG THU NSNN TRÊN ĐỊA BÀN</t>
    </r>
    <r>
      <rPr>
        <sz val="12"/>
        <rFont val="Times New Roman"/>
        <family val="1"/>
      </rPr>
      <t xml:space="preserve"> </t>
    </r>
  </si>
  <si>
    <t>Thu nội địa</t>
  </si>
  <si>
    <t>Thu từ thuế, phí và thu khác</t>
  </si>
  <si>
    <t>Thu ngân sách địa phương được hưởng theo phân cấp từ thuế, phí và thu khác nội địa</t>
  </si>
  <si>
    <t>Thu bổ sung từ ngân sách cấp tỉnh</t>
  </si>
  <si>
    <t>Thu bổ sung cân đối</t>
  </si>
  <si>
    <t>Thu bổ sung có mục tiêu</t>
  </si>
  <si>
    <t>C</t>
  </si>
  <si>
    <t>Tổng chi cân đối ngân sách địa phương</t>
  </si>
  <si>
    <t>Chi tạo nguồn, điều chỉnh tiền lương</t>
  </si>
  <si>
    <t>Dự phòng ngân sách</t>
  </si>
  <si>
    <t>Chi từ nguồn bổ sung có mục tiêu từ ngân sách tỉnh</t>
  </si>
  <si>
    <t>Thu năm trước chuyển nguồn sang năm 2026</t>
  </si>
  <si>
    <t xml:space="preserve">Kinh phí chuyển nguồn năm 2025 sang năm 2026 </t>
  </si>
  <si>
    <t>Chuyển nguồn năm 2025 sang năm 2026</t>
  </si>
  <si>
    <t xml:space="preserve">Kinh phí mua xe ô tô </t>
  </si>
  <si>
    <t>Kinh phí chỉnh lý tài liệu, kho lưu trữ</t>
  </si>
  <si>
    <t xml:space="preserve"> Chi khoán phục vụ, bảo vệ cơ quan đảng, QLNN, HĐND (định xuất 1 người/xã/năm*5trđ/người/tháng*12)</t>
  </si>
  <si>
    <t>Kinh phí trợ cấp lần đầu</t>
  </si>
  <si>
    <t>Phụ cấp cán bộ không chuyên trách (BTCB)</t>
  </si>
  <si>
    <t>Kinh phí thực hiện công tác đo đạc quỹ đất công (đất 5%) của xã Lùng Phình</t>
  </si>
  <si>
    <t xml:space="preserve">Tổng cộng </t>
  </si>
  <si>
    <t>Trung tâm phục vụ hành chính công</t>
  </si>
  <si>
    <t>Tạm chi  của Đảng và MTTQ 76 ; bảo vệ Đảng 60</t>
  </si>
  <si>
    <t xml:space="preserve">Dự toán điều chỉnh kỳ này </t>
  </si>
  <si>
    <t xml:space="preserve">Tên đơn vị/ Nội dung </t>
  </si>
  <si>
    <t>Dự toán giao kỳ này</t>
  </si>
  <si>
    <t>DỰ TOÁN CHI NGÂN SÁCH ĐỊA PHƯƠNG NĂM 2026</t>
  </si>
  <si>
    <t>ĐIỀU CHỈNH DỰ TOÁN CHI NGÂN SÁCH NĂM 2026</t>
  </si>
  <si>
    <t>Biểu 03-NS</t>
  </si>
  <si>
    <t>ĐƠN VỊ:UBND XÃ LÙNG PHÌNH</t>
  </si>
  <si>
    <t>Đơn vị tính: đồng</t>
  </si>
  <si>
    <t>CTMTQG, MÃ DA</t>
  </si>
  <si>
    <t xml:space="preserve">Loại, khoản </t>
  </si>
  <si>
    <t>Số liệu đã giao</t>
  </si>
  <si>
    <t>Số điều chỉnh đợt này</t>
  </si>
  <si>
    <t>Dự toán đã sử dụng đến 31/1/2026</t>
  </si>
  <si>
    <t>Tổng dự toán chuyển nguồn sau điều chỉnh</t>
  </si>
  <si>
    <t>Dư dự toán chưa thông báo</t>
  </si>
  <si>
    <t>Dư dự toán đã phân bổ cho công trình</t>
  </si>
  <si>
    <t>Dư tạm ứng</t>
  </si>
  <si>
    <t xml:space="preserve">Dư dự toán ở KBNN </t>
  </si>
  <si>
    <t>Tổng số</t>
  </si>
  <si>
    <t>Mã nguồn 12-18-15( nguồn hết nhiệm vụ chi, giao thừa )</t>
  </si>
  <si>
    <t>Mã nguồn 13( Chuyển nguồn NS)</t>
  </si>
  <si>
    <t>Mã nguồn 14</t>
  </si>
  <si>
    <t>Mã nguồn 15( Chuyển nguồn NS )</t>
  </si>
  <si>
    <t>Mã nguồn 42</t>
  </si>
  <si>
    <t>Mã nguồn 43</t>
  </si>
  <si>
    <t>Mã nguồn 44</t>
  </si>
  <si>
    <t>D</t>
  </si>
  <si>
    <t>E</t>
  </si>
  <si>
    <t>1=2+3+4+5</t>
  </si>
  <si>
    <t>5=(6+...+12)</t>
  </si>
  <si>
    <t>VỐN SỰ NGHIỆP CHƯƠNG TRÌNH MTQG VÀ CHƯƠNG TRÌNH MỤC TIÊU</t>
  </si>
  <si>
    <t>Chương trình MTGQ Phát triển kinh tế xã hội vùng đồng bào DTTS và MN</t>
  </si>
  <si>
    <t>Sự nghiệp Giáo dục - Đào tạo</t>
  </si>
  <si>
    <t>1126578- Trường PTDTBT TH Lùng Phình 2</t>
  </si>
  <si>
    <t>12-072</t>
  </si>
  <si>
    <t>15-072</t>
  </si>
  <si>
    <t>1127121- Trường PTDTBT TH Lùng Phình 1</t>
  </si>
  <si>
    <t>1132233-Trường PTDT BT TH&amp;  THCS Tả Van Chư</t>
  </si>
  <si>
    <t>15-073</t>
  </si>
  <si>
    <t>1121330-Trường PTDT BT THCS số 1 Lùng Thẩn</t>
  </si>
  <si>
    <t>1096847-Trường PTDTBT THCS số 2 Lùng Thẩn</t>
  </si>
  <si>
    <t xml:space="preserve">1107859-Trường PTDTBT TH số 1 Lùng Thẩn </t>
  </si>
  <si>
    <t>1102487-Trường PTDTBT TH số 2 Lùng Thẩn</t>
  </si>
  <si>
    <t>Sự nghiệp y tế</t>
  </si>
  <si>
    <t xml:space="preserve"> 1162079- Trạm Y Tế Lùng Phình</t>
  </si>
  <si>
    <t>15-139</t>
  </si>
  <si>
    <t xml:space="preserve">Các cơ quan Đảng, Đoàn thể, QLNN </t>
  </si>
  <si>
    <t xml:space="preserve">1158336 Phòng Kinh tế </t>
  </si>
  <si>
    <t xml:space="preserve">Dự án 4: Đầu tư cơ sở hạ tầng thiết yếu, phục vụ sản xuất, đời sống trong vùng đồng bào DTTS&amp;MN </t>
  </si>
  <si>
    <t>15- '071</t>
  </si>
  <si>
    <t>Dự án 4: Đầu tư cơ sở hạ tầng thiết yếu, phục vụ sản xuất, đời sống trong vùng đồng bào DTTS&amp;MN và các đơn vị sự nghiệp công lập của lĩnh vực dân tộc</t>
  </si>
  <si>
    <t>15- '073</t>
  </si>
  <si>
    <t>Dự án 3: Phát triển sản xuất nông, lâm nghiệp bền vững, phát huy tiềm năng, thế mạnh của các vùng miền để sản xuất hàng hóa theo chuỗi giá trị;Nội dung số 01: Hỗ trợ phát triển sản xuất cộng đồng</t>
  </si>
  <si>
    <t>15- 281</t>
  </si>
  <si>
    <t>Dự án 3: Phát triển sản xuất nông, lâm nghiệp bền vững, phát huy tiềm năng, thế mạnh của các vùng miền để sản xuất hàng hóa theo chuỗi giá trị(Tiểu dự án 1:(Nội dung trồng rừng + Bảo vệ rừng)</t>
  </si>
  <si>
    <t>15- 282</t>
  </si>
  <si>
    <t>15-283</t>
  </si>
  <si>
    <t>Dự án 2: Quy hoạch, sắp xếp, bố trí, ổn định dân cư ở những nơi cần thiết</t>
  </si>
  <si>
    <t>15- 285</t>
  </si>
  <si>
    <t>15/12-292</t>
  </si>
  <si>
    <t>Dự án 1: Giải quyết tình trạng thiếu đất ở, nhà ở, đất sản xuất, nước sinh hoạt</t>
  </si>
  <si>
    <t>15-311</t>
  </si>
  <si>
    <t>12-338</t>
  </si>
  <si>
    <t>Dự án 3: Phát triển sản xuất nông, lâm nghiệp bền vững, phát huy tiềm năng, thế mạnh của các vùng miền để sản xuất hàng hóa theo chuỗi giá trị</t>
  </si>
  <si>
    <t>15- 338</t>
  </si>
  <si>
    <t>Dự án 8: Thực hiện bình đẳng giới và giải quyết những vấn đề cấp thiết đối với phụ nữ và trẻ em</t>
  </si>
  <si>
    <t>1158605- Phòng văn hóa xã</t>
  </si>
  <si>
    <t>Dự án 5: Phát triển giáo dục đào tạo nâng cao chất lượng nguồn nhân lực</t>
  </si>
  <si>
    <t>15-'098</t>
  </si>
  <si>
    <t>Dự án 6: Bảo tồn, phát huy giá trị văn hóa truyền thống tốt đẹp của các dân tộc thiểu số gắn với phát triển du lịch</t>
  </si>
  <si>
    <t>15- 161</t>
  </si>
  <si>
    <t>Dự án 10: Truyền thông, tuyên truyền, vận động trong vùng đồng bào DTTS&amp;MN. Kiểm tra, giám sát đánh giá việc tổ chức thực hiện Chương trình</t>
  </si>
  <si>
    <t>Dự án 9: Đầu tư phát triển nhóm dân tộc thiểu số rất ít người và nhóm dân tộc còn nhiều khó khăn</t>
  </si>
  <si>
    <t>15- 341</t>
  </si>
  <si>
    <t xml:space="preserve">1159591- Ủy ban MTTQ Việt Nam </t>
  </si>
  <si>
    <t>15- 361</t>
  </si>
  <si>
    <t>VỐN SỰ NGHIỆP CHƯƠNG TRÌNH GIẢM NGHÈO BỀN VƯNG</t>
  </si>
  <si>
    <t>15- 132</t>
  </si>
  <si>
    <t>Dự án 1: Hỗ trợ đầu tư phát triển hạ tầng kinh tế - xã hội các huyện nghèo; Hỗ trợ duy tu và bảo dưỡng các công trình phục vụ dân sinh, sản xuất, thiết yếu trên địa bàn các xã.</t>
  </si>
  <si>
    <t>12- 311</t>
  </si>
  <si>
    <t xml:space="preserve">Dự án 2: Đa dạng hóa sinh kế, phát triển mô hình giảm nghèo </t>
  </si>
  <si>
    <t>Dự án 3: Hỗ trợ phát triển sản xuất, cải thiện dinh dưỡng</t>
  </si>
  <si>
    <t>12- 281</t>
  </si>
  <si>
    <t>Dự án 5: Hỗ trợ nhà ở cho hộ nghèo, hộ cận nghèo trên địa bàn các huyện nghèo</t>
  </si>
  <si>
    <t>12- 285</t>
  </si>
  <si>
    <t>12- 312</t>
  </si>
  <si>
    <t>15/12-283</t>
  </si>
  <si>
    <t>15/12- 292</t>
  </si>
  <si>
    <t>Dự án 7: Nâng cao năng lực và giám sát, đánh giá Chương trình</t>
  </si>
  <si>
    <t>Dự án 4: Phát triển giáo dục nghề nghiệp, việc làm bền vững</t>
  </si>
  <si>
    <t>Dự án 6: Truyền thông và giảm nghèo về thông tin</t>
  </si>
  <si>
    <t>CHI THƯỜNG XUYÊN</t>
  </si>
  <si>
    <t>13-072</t>
  </si>
  <si>
    <t>18-072</t>
  </si>
  <si>
    <t>1127126-Trường MN Lùng Phình</t>
  </si>
  <si>
    <t>12-071</t>
  </si>
  <si>
    <t>13-071</t>
  </si>
  <si>
    <t>15-071</t>
  </si>
  <si>
    <t>18-071</t>
  </si>
  <si>
    <t>1132241Trường MN Tả Văn Chư</t>
  </si>
  <si>
    <t>1132233-Trường Tiểu học và THCS Tả Văn Chư</t>
  </si>
  <si>
    <t>12-073</t>
  </si>
  <si>
    <t>13-073</t>
  </si>
  <si>
    <t>18-073</t>
  </si>
  <si>
    <t>1127877-Trường Mầm Non số 1 xã Lùng Thẩn</t>
  </si>
  <si>
    <t>1121329-Trường Mầm Non số 2 xã Lùng Thẩn</t>
  </si>
  <si>
    <t>1162079-Trạm y tế Lùng Phình</t>
  </si>
  <si>
    <t>13-132</t>
  </si>
  <si>
    <t>12-132</t>
  </si>
  <si>
    <t>15-132</t>
  </si>
  <si>
    <t>18-132</t>
  </si>
  <si>
    <t>00000</t>
  </si>
  <si>
    <t>12-011</t>
  </si>
  <si>
    <t>12-041</t>
  </si>
  <si>
    <t>12-075</t>
  </si>
  <si>
    <t>12-098</t>
  </si>
  <si>
    <t>12-161</t>
  </si>
  <si>
    <t>12-191</t>
  </si>
  <si>
    <t>12-285</t>
  </si>
  <si>
    <t>12-292</t>
  </si>
  <si>
    <t>12-312</t>
  </si>
  <si>
    <t>12-341</t>
  </si>
  <si>
    <t>12-351</t>
  </si>
  <si>
    <t>12-361</t>
  </si>
  <si>
    <t>12-362</t>
  </si>
  <si>
    <t>12-374</t>
  </si>
  <si>
    <t>12-398</t>
  </si>
  <si>
    <t>13-341</t>
  </si>
  <si>
    <t>13-351</t>
  </si>
  <si>
    <t>13-361</t>
  </si>
  <si>
    <t>15-341</t>
  </si>
  <si>
    <t>18-341</t>
  </si>
  <si>
    <t>23-341</t>
  </si>
  <si>
    <t>23-361</t>
  </si>
  <si>
    <t xml:space="preserve">1156999- Văn phòng HĐND&amp; UBND </t>
  </si>
  <si>
    <t>15-292</t>
  </si>
  <si>
    <t>15-161</t>
  </si>
  <si>
    <t>25-398</t>
  </si>
  <si>
    <t>26-371</t>
  </si>
  <si>
    <t>26-398</t>
  </si>
  <si>
    <t>1159591-Ủy ban MTTQ VN</t>
  </si>
  <si>
    <t>15-361</t>
  </si>
  <si>
    <t>18-361</t>
  </si>
  <si>
    <t>Văn Phòng Đảng ủy</t>
  </si>
  <si>
    <t>Thuế cơ sở 4- tỉnh Lào Cai</t>
  </si>
  <si>
    <t>Phòng GD số 6 -KH IX</t>
  </si>
  <si>
    <t>Công an xã</t>
  </si>
  <si>
    <t>Đơn vị</t>
  </si>
  <si>
    <t>Mã dự án</t>
  </si>
  <si>
    <t>Dự toán bị hủy</t>
  </si>
  <si>
    <t>Số dư tạm ứng</t>
  </si>
  <si>
    <t>Nguồn dự phòng Ngân sách TW</t>
  </si>
  <si>
    <t>8140796-Công trình thủy lợi thôn Pờ Chồ, xã Lùng Phình</t>
  </si>
  <si>
    <t>Ngân  sách tỉnh bổ sung có mục tiêu cho ngân sách xã</t>
  </si>
  <si>
    <t>Đường nội đồng thôn Nàng Cảng 2, Lùng Sán xã Lùng Thẩn, xã Lùng Thẩn</t>
  </si>
  <si>
    <t>Đường nội đồng Nà Mổ - Nà Chí, xã Lùng Thẩn</t>
  </si>
  <si>
    <t>Đường vào thôn Sảng Chải (Lử Thẩn), xã Lùng Thẩn</t>
  </si>
  <si>
    <t>Đường Seng Sui-Nà mỏ, xã Lùng Thẩn</t>
  </si>
  <si>
    <t>Đường vào thôn Nảng Cảng 1 - Nàng Cảng 2, xã Lùng Thẩn</t>
  </si>
  <si>
    <t>Đường Seng Sui - Lao Dìn Phàng, xã Lùng Thẩn</t>
  </si>
  <si>
    <t>Đường vào cầu Sảng Chải - Sẻ Lử Thẩn, xã Lùng Thẩn</t>
  </si>
  <si>
    <t>Đường Lùng Sán - Lênh Sui Thàng, xã Lùng Thẩn</t>
  </si>
  <si>
    <t xml:space="preserve">Đường Nà Chí Phàng xã Lùng Thẩn,  </t>
  </si>
  <si>
    <t>Đường thôn Nà Chí, xã Lùng Thẩn</t>
  </si>
  <si>
    <t>Đường Nàng Cảng 2 - Seng Sui, xã Lùng Thẩn</t>
  </si>
  <si>
    <t>Đường Lùng Sui - Lùng Cải (Bắc Hà) xã Lùng Sui, xã Lùng Thẩn</t>
  </si>
  <si>
    <t>Đường nội đồng thôn Chính Chư Phìn 2 xã Lử Thẩn, xã Lùng Thẩn</t>
  </si>
  <si>
    <t>Đường từ QL4 - thôn lênh Sui Thàng, xã Lùng Thẩn</t>
  </si>
  <si>
    <t>Đường Phà Hai Tủng - Sừ Mần Khang, xã Tả Văn Chư</t>
  </si>
  <si>
    <t>Đường Cầu treo - Pờ Chồ 3, xã Lùng Phình( 7980333)</t>
  </si>
  <si>
    <t>Đường  Tiểu học - nhà ông Hàm, xã Lùng Phình( 7980335)</t>
  </si>
  <si>
    <t>Đường ngã 3 Nhà văn hóa thôn Dì Thào Ván - Khu nhà ông Ly Seo Tà, xã Lùng Phình( 7980334)</t>
  </si>
  <si>
    <t>Đường Pả Chư Tỷ 2 - Quán Hóa, xã Lùng Phình( 8024807)</t>
  </si>
  <si>
    <t>Đường liên xã từ thôn Sín Chải xã Tả Văn Chư huyện Bắc Hà đến thôn Cán Cấu xã Cán Cấu huyện Si Ma Cai, xã Tả Văn Chư (8096462)</t>
  </si>
  <si>
    <t>Đường Pù Chù Ván khu sản xuất, xã Tả Van Chư(8096605)</t>
  </si>
  <si>
    <t>Đường Dì Thào Ván - Túng Súng, xã Lùng Phình( 8114821)</t>
  </si>
  <si>
    <t>Đường Dì Thào Ván - Dín Tủng 1, xã Lùng Phình</t>
  </si>
  <si>
    <t>Đường Xà Ván, xã Tả Văn Chư</t>
  </si>
  <si>
    <t>8159849-Đường từ thôn Nhiều Cù Ván A đến thôn Tẩn Chư, Tả Van Chư, xã Lùng Phình</t>
  </si>
  <si>
    <t>8149397-Công trình thủy lợi thôn Pờ Chồ- Pả Chư tỷ, xã Lùng Phình</t>
  </si>
  <si>
    <t>Chương trình mục tiêu quốc gia vốn NSTW</t>
  </si>
  <si>
    <t>Chương trình MTQG phát triển KTXH vùng đồng bào dân tộc thiểu số và miền núi (10511-10514)</t>
  </si>
  <si>
    <t>Đường Pả Chư Tỷ - Quán Hoá, xã Lùng Phình( 8114818)</t>
  </si>
  <si>
    <t>Đường khu sản xuất thôn Sín Chải, xã Tả Văn Chư( 8156846)</t>
  </si>
  <si>
    <t>8158354-Trường MN Lùng Phình</t>
  </si>
  <si>
    <t>7972194- Trạm y tế xã Lùng Phình</t>
  </si>
  <si>
    <t>Đường Seng Sui - Nà Mổ Cái, xã Lùng Thẩn</t>
  </si>
  <si>
    <t>Đường liên thôn từ thôn Seng Sui đến thôn Nàng Cảng 2, xã Lùng Thẩn</t>
  </si>
  <si>
    <t>Đường lả Dì Thàng đi xã Bản Phố</t>
  </si>
  <si>
    <t>8102900-Nâng cấp sửa chữa chợ Lùng Phình, huyện Bắc hà</t>
  </si>
  <si>
    <t>Trường PTDTBT TH số 1 xã Lùng Thẩn, huyện Si Ma Cai (PH Nà Trí Phàng 1) - Chương 800 - 8118007</t>
  </si>
  <si>
    <t>Thu tiền sử dụng đất ngân sách xã</t>
  </si>
  <si>
    <t>Điều chỉnh Quy hoạch chung xây dựng xã Tả Văn Chư, huyện Bắc Hà</t>
  </si>
  <si>
    <t>Nguồn tăng thu tiết kiệm chi ngân sách xã</t>
  </si>
  <si>
    <t>Sửa chữa Trường PTDTBT TH số 1 xã Lùng Thẩn, huyện Si Ma Cai (Điểm trường chính + PH Nà Chí Phàng 2 + Điểm Seng Sui)</t>
  </si>
  <si>
    <t xml:space="preserve">Tính chất nguồn kinh phí </t>
  </si>
  <si>
    <t>Loại, 
khoản</t>
  </si>
  <si>
    <t>Số dư tại thời điểm 31/01 được chuyển sang năm sau</t>
  </si>
  <si>
    <t xml:space="preserve">Hủy dự toán </t>
  </si>
  <si>
    <t>Chưa thông báo dự toán</t>
  </si>
  <si>
    <t>Số dư dự toán</t>
  </si>
  <si>
    <t>6=3+4+5</t>
  </si>
  <si>
    <t>8142479- Sửa chữa Trường PTDTBT TH số 1 xã Lùng Thẩn, xã Lùng Phình</t>
  </si>
  <si>
    <t>8140795-Công trình thủy lợi thôn Lử Chồ, Quám Hóa, PCT2, túng Súng, xã Lùng Phình</t>
  </si>
  <si>
    <t>III.1</t>
  </si>
  <si>
    <t>Đường từ QL4 - thôn lênh Sui Thàng, xã Lùng Thẩn( 8074654)</t>
  </si>
  <si>
    <t>Kinh phí chưa giao chi tiết cho từng danh mục</t>
  </si>
  <si>
    <t xml:space="preserve">Quy hoạch chung xây dựng xã Lùng Phình, huyện Bắc Hà </t>
  </si>
  <si>
    <t xml:space="preserve">Quy hoạch chung  xã Lùng Phình </t>
  </si>
  <si>
    <t>(Đường Pả Chư Tỷ 2 - Quán Hóa, xã Lùng Phình: 459trd)</t>
  </si>
  <si>
    <t>BIỂU TỔNG HỢP SỐ LIỆU CHUYỀN NGUỒN NGÂN SÁCH CHI THƯỜNG XUYÊN  NĂM 2025 SANG NĂM 2026 - XÃ LÙNG PHÌNH</t>
  </si>
  <si>
    <t>Biểu số: 04-NS</t>
  </si>
  <si>
    <t>Biểu 05-ĐT</t>
  </si>
  <si>
    <t xml:space="preserve">CHUYỀN NGUỒN NGÂN SÁCH NGUỒN VỐN ĐẦU TƯ PHÁT TRIỂN NĂM 2025 SANG NĂM 2026 - XÃ LÙNG PHÌNH  </t>
  </si>
  <si>
    <t>Đơn vị: Triệu đồng</t>
  </si>
  <si>
    <t>NỘI DUNG</t>
  </si>
  <si>
    <t>Kế hoạch đầu tư công năm 2026</t>
  </si>
  <si>
    <t>Nguồn vốn ngân sách tỉnh bổ sung có mục tiêu cho ngân sách xã thực hiện các dự án GTNT</t>
  </si>
  <si>
    <t>Biểu số 01</t>
  </si>
  <si>
    <t>Kinh phí nhiệm vụ đặc thù công tác khuyến nông</t>
  </si>
  <si>
    <t xml:space="preserve">Kinh phí dịch vụ công ích đô thị </t>
  </si>
  <si>
    <t>Trung tâm dịch vụ tổng hợp</t>
  </si>
  <si>
    <t>Kinh phí hoạt động Đảng Ủy cấp xã theo Quy định số 25-QĐ/TU</t>
  </si>
  <si>
    <t>Kinh phí công tác tuyên vận theo Quy định số 33-QĐ/TU</t>
  </si>
  <si>
    <t>Kinh phí nhiệm vụ đặc thù sự nghiệp văn hóa, TDTT</t>
  </si>
  <si>
    <t>Các chương trình mục tiêu khác- Ngân sách tỉnh bổ sung</t>
  </si>
  <si>
    <t xml:space="preserve">Nguồn chi thường xuyên- chuyển nguồn chưa phân bổ </t>
  </si>
  <si>
    <t>BỔ SUNG DỰ TOÁN CHI NGÂN SÁCH NĂM 2026</t>
  </si>
  <si>
    <t>Kinh phí tổ chức các cuộc thi báo cáo viên giỏi; tuyên truyền viên giỏi; bí thư chi bộ giỏi cấp xã</t>
  </si>
  <si>
    <t>Kinh phí duy tu, bảo dưỡng thường xuyên đường GTNT theo Nghị quyết 08/2023/NQ-HĐND ngày 06/7/2023 của HĐND tỉnh Lào Cai</t>
  </si>
  <si>
    <t>Kinh phí hoạt động của Hội Khuyến học xã</t>
  </si>
  <si>
    <t>Kinh phí hoạt động của Hội người cao tuổi, Hội chữ thập đỏ</t>
  </si>
  <si>
    <r>
      <t>Kinh phí tổ chức phát động " Tết trồng cây đời đời nhớ ơn Bắc Hồ" xuân Bính Ngọ năm 2026</t>
    </r>
    <r>
      <rPr>
        <i/>
        <sz val="12"/>
        <rFont val="Times New Roman"/>
        <family val="1"/>
      </rPr>
      <t xml:space="preserve"> </t>
    </r>
  </si>
  <si>
    <r>
      <t>Kinh phí Chi công tác PCCC &amp; CNCH năm 2025</t>
    </r>
    <r>
      <rPr>
        <i/>
        <sz val="12"/>
        <rFont val="Times New Roman"/>
        <family val="1"/>
      </rPr>
      <t xml:space="preserve"> </t>
    </r>
  </si>
  <si>
    <r>
      <t>Kinh phí đón quân nhân trở về địa phương và tiễn quân nhân lên đường nhập ngũ năm 2026</t>
    </r>
    <r>
      <rPr>
        <i/>
        <sz val="12"/>
        <rFont val="Times New Roman"/>
        <family val="1"/>
      </rPr>
      <t xml:space="preserve"> </t>
    </r>
  </si>
  <si>
    <r>
      <t>Kinh phí sửa chữa phòng làm việc trung tâm PCHCC</t>
    </r>
    <r>
      <rPr>
        <i/>
        <sz val="12"/>
        <rFont val="Times New Roman"/>
        <family val="1"/>
      </rPr>
      <t xml:space="preserve"> </t>
    </r>
  </si>
  <si>
    <t>Chi giám sát, phản biện xã hội</t>
  </si>
  <si>
    <t xml:space="preserve"> Chi hỗ trợ kinh phí tổ chức lễ hội cúng rừng năm 2026 xã Lùng Phình </t>
  </si>
  <si>
    <t xml:space="preserve">Chi lắp đặt trang thiết bị hội trường mới UBND </t>
  </si>
  <si>
    <t>Bổ sung kinh phí phát sinh mua mới xe ô tô</t>
  </si>
  <si>
    <t>Lắp mạng + đường điện</t>
  </si>
  <si>
    <t>Chi tiền xăng xe, hội nghị, làm thêm giờ, mua sắm tài sản cho lãnh đạo VP, bàn phòng tiếp dân</t>
  </si>
  <si>
    <t>Kinh phí thành lập mô hình điểm PCCC công cộng tại thôn Lả Dì Thàng</t>
  </si>
  <si>
    <t>Kinh phí thi viết lực lượng an ninh trật tự cơ sở  năm 2026</t>
  </si>
  <si>
    <t>Kinh phí hoạt động tổng kết công tác công an và tổng kết phong trào toàn dân bảo vệ an ninh Tổ quốc</t>
  </si>
  <si>
    <t>Đơn vị sự nghiệp ngoài ngân sách</t>
  </si>
  <si>
    <t>Viện kiểm sát nhân dân khu vực 9</t>
  </si>
  <si>
    <t xml:space="preserve">Kinh phí hoạt động của Viện kiểm sát nhân dân khu vực 9 </t>
  </si>
  <si>
    <t>Kinh phí hỗ trợ cán bộ, mua sắm vật tư, văn phòng phẩm phục vụ công tác Quyết toán ngân sách, đầu tư công năm 2025</t>
  </si>
  <si>
    <t>Kinh phí sửa chữa, lắp điện, mạng, vách ngăn phòng làm việc năm 2026</t>
  </si>
  <si>
    <t>Quy hoạch chung xã Lùng Phình</t>
  </si>
  <si>
    <t>Kinh phí thực hiện một số nhiệm vụ năm 2026 công tác Đảng</t>
  </si>
  <si>
    <t xml:space="preserve">Sự nghiệp giáo dục </t>
  </si>
  <si>
    <t>BIỂU 01: BIỂU TỔNG HỢP KẾ HOẠCH ĐẦU TƯ NĂM 2026 XÃ LÙNG PHÌNH</t>
  </si>
  <si>
    <t>Kế hoạch đầu tư công năm 2026 đã giao tại NQ số 33/NQ-HĐND ngày 29/5/2026</t>
  </si>
  <si>
    <t>Điều chỉnh, bổ sung đợt này</t>
  </si>
  <si>
    <t>Kế hoạch đầu tư công năm 2026 sau điều chỉnh</t>
  </si>
  <si>
    <t>Tăng</t>
  </si>
  <si>
    <t>Giảm</t>
  </si>
  <si>
    <t>Vốn kéo dài sang năm 2026</t>
  </si>
  <si>
    <t>Ngân sách tỉnh bổ sung cho ngân sách xã (Nguồn vốn xây dựng cơ bản tập trung)</t>
  </si>
  <si>
    <t xml:space="preserve">Nguồn vốn ngân sách tỉnh bổ sung có mục tiêu cho ngân sách xã </t>
  </si>
  <si>
    <t>Nguồn vốn chương trình MTQG</t>
  </si>
  <si>
    <t>Biểu 06-ĐTC</t>
  </si>
  <si>
    <t>Chi hỗ trợ đóng BHXH, BHYT cho CB KCT thôn năm 2025,2026</t>
  </si>
  <si>
    <t>TỈNH LÀO CAI</t>
  </si>
  <si>
    <t>XÃ LÙNG PHÌNH</t>
  </si>
  <si>
    <t>ĐVT: đồng</t>
  </si>
  <si>
    <t>Họ Và Tên</t>
  </si>
  <si>
    <t>Chức vụ</t>
  </si>
  <si>
    <t>Hệ số lương</t>
  </si>
  <si>
    <t>Cộng hệ số</t>
  </si>
  <si>
    <t>Mức lương CB</t>
  </si>
  <si>
    <t>Hệ Số phụ cấp khác</t>
  </si>
  <si>
    <t>Tổng lương được hưởng</t>
  </si>
  <si>
    <t>BHXH trả thay lương</t>
  </si>
  <si>
    <t xml:space="preserve">Các khoản phải khấu trừ </t>
  </si>
  <si>
    <t>Số còn được lĩnh</t>
  </si>
  <si>
    <t xml:space="preserve"> ( Chuyển Khoản )</t>
  </si>
  <si>
    <t xml:space="preserve">Số tháng đóng BHXH </t>
  </si>
  <si>
    <t>Tổng BHXH 17%</t>
  </si>
  <si>
    <t>HS khu vực</t>
  </si>
  <si>
    <t>HS phụ cấp lâu năm</t>
  </si>
  <si>
    <t>HS công vụ</t>
  </si>
  <si>
    <t>PC thu hút</t>
  </si>
  <si>
    <t>BHXH 8%</t>
  </si>
  <si>
    <t>BHYT 1,5%</t>
  </si>
  <si>
    <t xml:space="preserve">Cộng </t>
  </si>
  <si>
    <t>6101Chức Vụ</t>
  </si>
  <si>
    <t>6102 KV</t>
  </si>
  <si>
    <t>6103Thu hút</t>
  </si>
  <si>
    <t>6121Lâu năm</t>
  </si>
  <si>
    <t>6124 Công vụ</t>
  </si>
  <si>
    <t>6001Lương</t>
  </si>
  <si>
    <t>6353,
6123</t>
  </si>
  <si>
    <t xml:space="preserve">Trưởng thôn </t>
  </si>
  <si>
    <t>Ma Seo Tỏa</t>
  </si>
  <si>
    <t xml:space="preserve">Trưởng thôn - Pả Chư Tỷ </t>
  </si>
  <si>
    <t>CK</t>
  </si>
  <si>
    <t xml:space="preserve">Ma Seo Vảng </t>
  </si>
  <si>
    <t xml:space="preserve">Trưởng thôn Pờ Chồ </t>
  </si>
  <si>
    <t>Ly Seo Tính</t>
  </si>
  <si>
    <t xml:space="preserve">Trưởng thôn Lử Chồ </t>
  </si>
  <si>
    <t>Sùng Seo Hòa</t>
  </si>
  <si>
    <t>Trưởng thôn Dì Thào Ván</t>
  </si>
  <si>
    <t xml:space="preserve">Giàng Chử Sài </t>
  </si>
  <si>
    <t xml:space="preserve">Trưởng thôn - Tà Chải </t>
  </si>
  <si>
    <t>Giàng Seo Phần</t>
  </si>
  <si>
    <t>Trưởng thôn - Lả Dì Thàng</t>
  </si>
  <si>
    <t>Giàng Seo Hồng</t>
  </si>
  <si>
    <t xml:space="preserve">Trưởng thôn - Sà Ván Sừ Mần Khang </t>
  </si>
  <si>
    <t>Ma Seo Sớ</t>
  </si>
  <si>
    <t>Trưởng thôn - Lao Chải Phà Hai Tủng</t>
  </si>
  <si>
    <t>Giàng Seo Xoá</t>
  </si>
  <si>
    <t>Trưởng thôn - Sín Chải</t>
  </si>
  <si>
    <t>Tráng Seo Chúa</t>
  </si>
  <si>
    <t>Trưởng thôn - Tẩn Chư</t>
  </si>
  <si>
    <t>Tẩn Seo Dền</t>
  </si>
  <si>
    <t xml:space="preserve">Trưởng thôn - Nhiều Cù Ván </t>
  </si>
  <si>
    <t>Thào Seo Kéng</t>
  </si>
  <si>
    <t>Trưởng thôn Lử Thẩn</t>
  </si>
  <si>
    <t>Giàng Seo Nhà</t>
  </si>
  <si>
    <t>Trưởng thôn Nàng Cảng</t>
  </si>
  <si>
    <t>Thào Seo Tếnh</t>
  </si>
  <si>
    <t>Trưởng thôn Chính Chư Phìn</t>
  </si>
  <si>
    <t>Vàng Seo Dìn</t>
  </si>
  <si>
    <t>Trưởng thôn Lùng Sán</t>
  </si>
  <si>
    <t>Sùng Seo Giả</t>
  </si>
  <si>
    <t>Trưởng thôn Lênh Sui Thàng</t>
  </si>
  <si>
    <t>Hoàng Seo Sanh</t>
  </si>
  <si>
    <t>Trưởng thôn Nà Chí Phàng</t>
  </si>
  <si>
    <t>Sùng Seo Hảng</t>
  </si>
  <si>
    <t xml:space="preserve">Trưởng thôn Pù Chù Ván </t>
  </si>
  <si>
    <t>Bí thư Chi bộ</t>
  </si>
  <si>
    <t xml:space="preserve">Hảng Seo Dế </t>
  </si>
  <si>
    <t>Thôn Pờ Chồ</t>
  </si>
  <si>
    <t xml:space="preserve">Ma Seo Nhà </t>
  </si>
  <si>
    <t>Thôn  Lùng Phình</t>
  </si>
  <si>
    <t>Lý Văn Dơ</t>
  </si>
  <si>
    <t>Thôn Dì Thào Ván</t>
  </si>
  <si>
    <t xml:space="preserve">Lâm Thị Hồng </t>
  </si>
  <si>
    <t>Thôn Tả Chải</t>
  </si>
  <si>
    <t>Hảng Seo Tỏa</t>
  </si>
  <si>
    <t>Thôn Lử Chồ</t>
  </si>
  <si>
    <t>Sùng Văn Áo</t>
  </si>
  <si>
    <t>Thôn Lử Thẩn</t>
  </si>
  <si>
    <t>Vàng Seo Áo</t>
  </si>
  <si>
    <t>Thôn Nàng Cảng</t>
  </si>
  <si>
    <t>Ly Chính Di</t>
  </si>
  <si>
    <t>Thôn Chính Chư Phìn</t>
  </si>
  <si>
    <t>Sùng Seo Chư</t>
  </si>
  <si>
    <t>Thôn Lùng Sán</t>
  </si>
  <si>
    <t>Hảng Seo Sếnh</t>
  </si>
  <si>
    <t>Thôn Seng Sui</t>
  </si>
  <si>
    <t>Sùng Seo Páo</t>
  </si>
  <si>
    <t>Thôn Lênh Sui Thàng</t>
  </si>
  <si>
    <t>Cư Seo Quáng</t>
  </si>
  <si>
    <t>Thôn Nà Chí Phàng</t>
  </si>
  <si>
    <t>Vàng Seo Chẩn</t>
  </si>
  <si>
    <t>Thôn Xà Ván Sừ Mần Khang</t>
  </si>
  <si>
    <t>Giàng Seo Phá</t>
  </si>
  <si>
    <t>Thôn Lả Dì Thàng</t>
  </si>
  <si>
    <t>Thào Seo Chính</t>
  </si>
  <si>
    <t>Thôn Lao Chải Phà Hai Tủng</t>
  </si>
  <si>
    <t>Tráng Seo Quân</t>
  </si>
  <si>
    <t>Thôn Tẩn Chư</t>
  </si>
  <si>
    <t>Ly Seo Vư</t>
  </si>
  <si>
    <t>Thôn Nhiều Cù Ván</t>
  </si>
  <si>
    <t>Tráng Seo Nồng</t>
  </si>
  <si>
    <t>Thôn Pù Chù Ván</t>
  </si>
  <si>
    <t>Giàng Seo Chư</t>
  </si>
  <si>
    <t>Thôn Sín Chải</t>
  </si>
  <si>
    <t>Trưởng ban CT MTTQ thôn</t>
  </si>
  <si>
    <t>Sùng Thị Cở</t>
  </si>
  <si>
    <t>Thào Thị Tấu</t>
  </si>
  <si>
    <t>Hoàng Thị Ánh</t>
  </si>
  <si>
    <t>Thôn Lùng Phình</t>
  </si>
  <si>
    <t xml:space="preserve">Giàng Thị Mủa </t>
  </si>
  <si>
    <t>Hàng Seo Chô</t>
  </si>
  <si>
    <t>Thôn Phả Chư Tỷ</t>
  </si>
  <si>
    <t xml:space="preserve">Tráng Thị Phấn </t>
  </si>
  <si>
    <t>Vàng Thị Hoa</t>
  </si>
  <si>
    <t>Thộ Sín Chải</t>
  </si>
  <si>
    <t>Sùng Thị Sa</t>
  </si>
  <si>
    <t>Ma Seo Chư</t>
  </si>
  <si>
    <t>Thôn Loa Chải Phà Hai  Tủng</t>
  </si>
  <si>
    <t>Ly Thị Làn</t>
  </si>
  <si>
    <t>Ly Seo Sèng</t>
  </si>
  <si>
    <t>Giàng Seo Quáng</t>
  </si>
  <si>
    <t xml:space="preserve">Giàng Thị Di </t>
  </si>
  <si>
    <t>Sùng Seo Lờ</t>
  </si>
  <si>
    <t xml:space="preserve">Giàng Seo Tỏa </t>
  </si>
  <si>
    <t>Tráng Seo Nuôi</t>
  </si>
  <si>
    <t>VP HĐND</t>
  </si>
  <si>
    <t>MTTQ</t>
  </si>
  <si>
    <t xml:space="preserve">Kinh phí thực hiện chính sách về công tác dân số </t>
  </si>
  <si>
    <r>
      <t xml:space="preserve">Kinh phí hoạt động trong công tác tiêm chủng mở rộng tại địa phương </t>
    </r>
    <r>
      <rPr>
        <i/>
        <sz val="12"/>
        <rFont val="Times New Roman"/>
        <family val="1"/>
      </rPr>
      <t>( Nguồn chi chung sự nghiệp y tế)</t>
    </r>
  </si>
  <si>
    <t>00001</t>
  </si>
  <si>
    <t>00002</t>
  </si>
  <si>
    <t>00003</t>
  </si>
  <si>
    <t>00004</t>
  </si>
  <si>
    <t xml:space="preserve">Vốn đầu tư công </t>
  </si>
  <si>
    <t>ĐK</t>
  </si>
  <si>
    <t xml:space="preserve">Chi tiết theo Tờ trình ĐTC </t>
  </si>
  <si>
    <t>BẢNG THANH TOÁN BẢO HIỂM CÁN BỘ KCT XÃ LÙNG PHÌNH  NĂM 2025, năm 2026</t>
  </si>
  <si>
    <t xml:space="preserve">Theo Quyết định số 2319/QĐ-UBND ngày 01/7/2026 của UBND tỉnh Lào Cai </t>
  </si>
  <si>
    <t xml:space="preserve">Mặt trận Tổ quốc Việt Nam </t>
  </si>
  <si>
    <t>Chi hỗ trợ thực hiện công tác dân số năm 2026</t>
  </si>
  <si>
    <t xml:space="preserve">Theo Quyết định số 2324 /QĐ-UBND ngày 02 /7/2026 của UBND tỉnh Lào Cai </t>
  </si>
  <si>
    <t>Kinh phí thực hiện 120 ngày hoàn thành cơ sở dữ liệu đất đai trên địa bàn xã năm 2026</t>
  </si>
  <si>
    <t xml:space="preserve">Theo Quyết định số 2219 /QĐ-UBND ngày 24/6/2026  của UBND tỉnh Lào Cai </t>
  </si>
  <si>
    <t>Trường  PTDTBT Tiểu học số 1 Lùng Thẩn</t>
  </si>
  <si>
    <t xml:space="preserve">Trường PTDTBT Tiểu học Lùng Phình </t>
  </si>
  <si>
    <t>Trường PTDTBT THCS số 1 Lùng Thẩn</t>
  </si>
  <si>
    <t>Trường PTDTBT TH&amp; THCS Lùng Thẩn</t>
  </si>
  <si>
    <t>TrườngPTDTBT TH&amp;THCS Tả Van Chư</t>
  </si>
  <si>
    <t xml:space="preserve">Trường THCS &amp; THPT Bắc Hà </t>
  </si>
  <si>
    <t>Kinh phí BHXH, cho cán bộ không chuyên trách thôn bản năm 2025, năm 2026</t>
  </si>
  <si>
    <r>
      <t>Kinh phí hỗ trợ ôn luyện thi học sinh giỏi học kỳ 2 năm học 2025-2026</t>
    </r>
    <r>
      <rPr>
        <i/>
        <sz val="11"/>
        <color theme="1"/>
        <rFont val="Times New Roman"/>
        <family val="1"/>
      </rPr>
      <t>( Tờ trinh số 255/TTr-VHXH ngày 02/7/2026 của Phòng Văn hóa -xã hội)</t>
    </r>
  </si>
  <si>
    <t xml:space="preserve">trả tỉnh </t>
  </si>
  <si>
    <r>
      <t>Trường PTDTBT TH Lùng Phình</t>
    </r>
    <r>
      <rPr>
        <i/>
        <sz val="12"/>
        <rFont val="Times New Roman"/>
        <family val="1"/>
      </rPr>
      <t>( sau sáp nhập)</t>
    </r>
  </si>
  <si>
    <r>
      <t>Trường PTDTBT TH &amp; THCS Lùng Thẩn</t>
    </r>
    <r>
      <rPr>
        <i/>
        <sz val="12"/>
        <rFont val="Times New Roman"/>
        <family val="1"/>
      </rPr>
      <t>( sau sáp nhập)</t>
    </r>
  </si>
  <si>
    <r>
      <t>Kinh phí chế độ chính sách học sinh khuyết tật, hỗ trợ học tập đối với trẻ mẫu giáo, học sinh sinh viên dân tộc thiểu số....</t>
    </r>
    <r>
      <rPr>
        <i/>
        <sz val="12"/>
        <rFont val="Times New Roman"/>
        <family val="1"/>
      </rPr>
      <t>( chưa phân bổ chi tiết)</t>
    </r>
  </si>
  <si>
    <r>
      <t>Kinh phí chi chung sự nghiệp giáo dục (</t>
    </r>
    <r>
      <rPr>
        <i/>
        <sz val="12"/>
        <rFont val="Times New Roman"/>
        <family val="1"/>
      </rPr>
      <t xml:space="preserve"> chưa phân bổ chi tiết cho các đơn vị)</t>
    </r>
  </si>
  <si>
    <t xml:space="preserve">Nội dung chi </t>
  </si>
  <si>
    <t xml:space="preserve">Văn phòng HĐND </t>
  </si>
  <si>
    <t xml:space="preserve">Tổng kinh phí đã giao </t>
  </si>
  <si>
    <t xml:space="preserve">Kinh phí giao đầu năm </t>
  </si>
  <si>
    <t xml:space="preserve">Kinh phí còn lại </t>
  </si>
  <si>
    <t>TỔNG DỰ TOÁN NGUỒN KP DỰ PHÒNG NĂM 2026</t>
  </si>
  <si>
    <t>Trường THCS&amp;THPT Bắc Hà</t>
  </si>
  <si>
    <t>Giao kinh phí thuê xe vận chuyển, thuê nhân công bốc xếp 3triệu đồng; đề nghị đơn vị thực hiện lập dự toán, thanh toán đảm bảo theo quy định</t>
  </si>
  <si>
    <t>Giao kinh phí thuê xe vận chuyển, thuê nhân công bốc xếp 3 triệu đồng; đề nghị đơn vị thực hiện lập dự toán, thanh toán đảm bảo theo quy định</t>
  </si>
  <si>
    <t>Giao kinh phí thuê xe vận chuyển, thuê nhân công bốc xếp 5 triệu đồng; đề nghị đơn vị thực hiện lập dự toán, thanh toán đảm bảo theo quy định</t>
  </si>
  <si>
    <t>Giao kinh phí thuê xe vận chuyển, thuê nhân công bốc xếp 11 triệu đồng; đề nghị đơn vị thực hiện lập dự toán, thanh toán đảm bảo theo quy định</t>
  </si>
  <si>
    <t>Giao kinh phí thuê xe vận chuyển, thuê nhân công bốc xếp 8 triệu đồng; đề nghị đơn vị thực hiện lập dự toán, thanh toán đảm bảo theo quy định</t>
  </si>
  <si>
    <t>Giao chi hỗ trợ tổ chức kỳ thi học sinh giỏi học kỳ 2 năm học 2025-2026 16 triệu đồng, đề nghị Phòng văn hóa -xã hội thực hiện lập dự toán, thanh toán đảm bảo theo quy định</t>
  </si>
  <si>
    <t>Kinh phí đại hội Hội chữ thập đỏ, hội người cao tuổi</t>
  </si>
  <si>
    <t xml:space="preserve">Phòng Văn hóa- xã hội </t>
  </si>
  <si>
    <t xml:space="preserve">Kinh phí chưa phân bổ chi tiết - chi chung sự nghiệp y tế </t>
  </si>
  <si>
    <t>Kinh phí hỗ trợ đưa thân nhân liệt sỹ đi giám định AND</t>
  </si>
  <si>
    <t>Nguồn kinh phí làm lương, chi khác chuyển nguồn năm trước sang</t>
  </si>
  <si>
    <t>Kinh phí mua sắm tài sản máy móc thiết bị, bàn ghế làm việc, lắp mạng, internet…</t>
  </si>
  <si>
    <t>Nguồn kinh phí tăng thu năm 2025</t>
  </si>
  <si>
    <t>Kinh phí hỗ trợ đưa thân nhân liệt sỹ đi giá định AND</t>
  </si>
  <si>
    <t>Chi công tác an ninh trật tự</t>
  </si>
  <si>
    <t xml:space="preserve"> X</t>
  </si>
  <si>
    <t>Lương, phụ cấp cán bộ công chức, CCTL từ nguồn tăng thu</t>
  </si>
  <si>
    <t>Lắp mạng, đường điện, vách ngăn phòng làm việc</t>
  </si>
  <si>
    <t>Kinh phí hỗ trợ thi học sinh giỏi  cấp tỉnh năm học 2025-2026</t>
  </si>
  <si>
    <t>XIII</t>
  </si>
  <si>
    <t>A4</t>
  </si>
  <si>
    <t xml:space="preserve">Kinh phí tiền lương, chế độ chính sách khác năm trước chuyển sang </t>
  </si>
  <si>
    <t>Nguồn kinh phí tiền lương,chế độ chính sách khác chưa phân bổ chi tiết</t>
  </si>
  <si>
    <t xml:space="preserve"> IX</t>
  </si>
  <si>
    <t xml:space="preserve">Giao kinh phí thực hiện hỗ trợ giáo viên dạy học sinh khuyết tật học hòa nhập  65 triệu đồng do chưa cấp tại Quyết định 799/QĐ-UBND ngày 22/12/2026 của UBND xã Lùng Phình </t>
  </si>
  <si>
    <t xml:space="preserve">Giảm kinh phí thực hiện hỗ trợ giáo viên dạy học sinh khuyết tật học hòa nhập  65 triệu đồng do cấp thừa tại Quyết định 799/QĐ-UBND ngày 22/12/2026 của UBND xã Lùng Phình </t>
  </si>
  <si>
    <t>Phòng kinh tế xã</t>
  </si>
  <si>
    <t>Theo Quyết định số 357 ngày 07/7/2026 của UBND xã Lùng Phình phê duyệt chế độ trợ cấp lần đầu, chế độ thu hút, chế độ công tác lâu năm theo Nghị định 76/2019/NĐ-CP ngày 08/10/2019</t>
  </si>
  <si>
    <t xml:space="preserve">Chi hoạt động của các cơ quan Đảng, Đoàn thể,  nhà nước </t>
  </si>
  <si>
    <t>Dư tăng thu năm 2025</t>
  </si>
  <si>
    <t>Chi hỗ trợ chi phí đi lại, ăn, ở. Đề nghị đơn vị thực hiện lập dự toán, thanh toán đảm bảo theo quy định</t>
  </si>
  <si>
    <r>
      <t>Kinh phí hỗ trợ đưa thân nhân liệt sỹ đi giám định AND</t>
    </r>
    <r>
      <rPr>
        <i/>
        <sz val="12"/>
        <rFont val="Times New Roman"/>
        <family val="1"/>
      </rPr>
      <t>( Tờ trình số 418/TTr-CAX ngày 02 /7/2026</t>
    </r>
  </si>
  <si>
    <t>(Kèm theo Nghị quyết số    /NQ- HĐND ngày     tháng 7 năm 2026 của HĐND xã Lùng Phình)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</si>
</sst>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1" formatCode="_(* #,##0_);_(* \(#,##0\);_(* &quot;-&quot;_);_(@_)"/>
    <numFmt numFmtId="164" formatCode="_-* #,##0.00_-;\-* #,##0.00_-;_-* &quot;-&quot;??_-;_-@_-"/>
    <numFmt numFmtId="165" formatCode="#,###"/>
    <numFmt numFmtId="166" formatCode="_-* #,##0\ _₫_-;\-* #,##0\ _₫_-;_-* &quot;-&quot;??\ _₫_-;_-@_-"/>
    <numFmt numFmtId="167" formatCode="_-* #,##0_-;\-* #,##0_-;_-* &quot;-&quot;??_-;_-@_-"/>
    <numFmt numFmtId="168" formatCode="_(* #,##0_);_(* \(#,##0\);_(* &quot;-&quot;??_);_(@_)"/>
    <numFmt numFmtId="169" formatCode="_(* #.##0.00_);_(* \(#.##0.00\);_(* &quot;-&quot;??_);_(@_)"/>
    <numFmt numFmtId="170" formatCode="_(* ###,0&quot;.&quot;00_);_(* \(###,0&quot;.&quot;00\);_(* &quot;-&quot;??_);_(@_)"/>
    <numFmt numFmtId="171" formatCode="0.0"/>
    <numFmt numFmtId="172" formatCode="_-* #.##0.00_-;\-* #.##0.00_-;_-* &quot;-&quot;??_-;_-@_-"/>
    <numFmt numFmtId="173" formatCode="_-* #.##0.00\ _₫_-;\-* #.##0.00\ _₫_-;_-* &quot;-&quot;??\ _₫_-;_-@_-"/>
    <numFmt numFmtId="174" formatCode="_(* #.##._);_(* \(#.##.\);_(* &quot;-&quot;_);_(@_ⴆ"/>
    <numFmt numFmtId="175" formatCode="0.0_);\(0.0\)"/>
    <numFmt numFmtId="176" formatCode="_(* #.##0.0_);_(* \(#.##0.0\);_(* &quot;-&quot;??_);_(@_)"/>
    <numFmt numFmtId="177" formatCode="_-* #,##0.000_-;\-* #,##0.000_-;_-* &quot;-&quot;??_-;_-@_-"/>
  </numFmts>
  <fonts count="54" x14ac:knownFonts="1">
    <font>
      <sz val="12"/>
      <name val="Times New Roman"/>
      <family val="1"/>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name val="Times New Roman"/>
      <family val="1"/>
    </font>
    <font>
      <sz val="11"/>
      <color indexed="8"/>
      <name val="Calibri"/>
      <family val="2"/>
    </font>
    <font>
      <sz val="10"/>
      <name val="MS Sans Serif"/>
      <family val="2"/>
    </font>
    <font>
      <sz val="10"/>
      <name val=".VnTime"/>
      <family val="2"/>
    </font>
    <font>
      <sz val="10"/>
      <name val="Helv"/>
      <family val="2"/>
    </font>
    <font>
      <b/>
      <sz val="11"/>
      <color theme="1"/>
      <name val="Times New Roman"/>
      <family val="1"/>
    </font>
    <font>
      <sz val="11"/>
      <color theme="1"/>
      <name val="Times New Roman"/>
      <family val="1"/>
    </font>
    <font>
      <b/>
      <sz val="14"/>
      <color theme="1"/>
      <name val="Times New Roman"/>
      <family val="1"/>
    </font>
    <font>
      <sz val="14"/>
      <color theme="1"/>
      <name val="Times New Roman"/>
      <family val="1"/>
    </font>
    <font>
      <sz val="12"/>
      <color theme="1"/>
      <name val="Times New Roman"/>
      <family val="1"/>
    </font>
    <font>
      <i/>
      <sz val="11"/>
      <color theme="1"/>
      <name val="Times New Roman"/>
      <family val="1"/>
    </font>
    <font>
      <i/>
      <sz val="14"/>
      <color theme="1"/>
      <name val="Times New Roman"/>
      <family val="1"/>
    </font>
    <font>
      <i/>
      <sz val="14"/>
      <name val="Times New Roman"/>
      <family val="1"/>
    </font>
    <font>
      <sz val="14"/>
      <name val="Times New Roman"/>
      <family val="1"/>
    </font>
    <font>
      <b/>
      <i/>
      <sz val="14"/>
      <color theme="1"/>
      <name val="Times New Roman"/>
      <family val="1"/>
    </font>
    <font>
      <i/>
      <sz val="13"/>
      <name val="Times New Roman"/>
      <family val="1"/>
    </font>
    <font>
      <sz val="8"/>
      <name val="Times New Roman"/>
      <family val="1"/>
    </font>
    <font>
      <sz val="11"/>
      <name val="Calibri"/>
      <family val="2"/>
    </font>
    <font>
      <sz val="10"/>
      <color rgb="FF000000"/>
      <name val="Times New Roman"/>
      <family val="1"/>
    </font>
    <font>
      <sz val="11"/>
      <name val="Times New Roman"/>
      <family val="1"/>
    </font>
    <font>
      <b/>
      <sz val="11"/>
      <name val="Times New Roman"/>
      <family val="1"/>
    </font>
    <font>
      <sz val="10"/>
      <name val="Arial"/>
      <family val="2"/>
    </font>
    <font>
      <sz val="12"/>
      <name val=".VnArial Narrow"/>
      <family val="2"/>
    </font>
    <font>
      <i/>
      <sz val="11"/>
      <name val="Times New Roman"/>
      <family val="1"/>
    </font>
    <font>
      <sz val="14"/>
      <name val=".VnTime"/>
      <family val="2"/>
    </font>
    <font>
      <b/>
      <sz val="10"/>
      <name val="Times New Roman"/>
      <family val="1"/>
    </font>
    <font>
      <sz val="10"/>
      <name val="Times New Roman"/>
      <family val="1"/>
    </font>
    <font>
      <i/>
      <sz val="10"/>
      <name val="Times New Roman"/>
      <family val="1"/>
    </font>
    <font>
      <b/>
      <sz val="12"/>
      <color theme="1"/>
      <name val="Times New Roman"/>
      <family val="1"/>
    </font>
    <font>
      <sz val="12"/>
      <name val="Times New Roman"/>
      <family val="1"/>
      <charset val="1"/>
    </font>
    <font>
      <i/>
      <sz val="12"/>
      <color theme="1"/>
      <name val="Times New Roman"/>
      <family val="1"/>
    </font>
    <font>
      <b/>
      <sz val="12"/>
      <name val="Times New Roman"/>
      <family val="1"/>
    </font>
    <font>
      <i/>
      <sz val="12"/>
      <name val="Times New Roman"/>
      <family val="1"/>
    </font>
    <font>
      <sz val="12"/>
      <name val=".VnTime"/>
      <family val="2"/>
    </font>
    <font>
      <b/>
      <sz val="13"/>
      <name val="Times New Roman"/>
      <family val="1"/>
    </font>
    <font>
      <b/>
      <i/>
      <sz val="12"/>
      <name val="Times New Roman"/>
      <family val="1"/>
    </font>
    <font>
      <b/>
      <i/>
      <sz val="11"/>
      <name val="Times New Roman"/>
      <family val="1"/>
    </font>
    <font>
      <sz val="11"/>
      <color rgb="FF9C0006"/>
      <name val="Calibri"/>
      <family val="2"/>
      <scheme val="minor"/>
    </font>
    <font>
      <sz val="9"/>
      <name val="Times New Roman"/>
      <family val="1"/>
    </font>
    <font>
      <b/>
      <i/>
      <sz val="10"/>
      <name val="Times New Roman"/>
      <family val="1"/>
    </font>
    <font>
      <b/>
      <sz val="14"/>
      <name val="Times New Roman"/>
      <family val="1"/>
    </font>
    <font>
      <b/>
      <sz val="9"/>
      <name val="Times New Roman"/>
      <family val="1"/>
    </font>
    <font>
      <b/>
      <sz val="9"/>
      <name val="Tahoma"/>
      <family val="2"/>
    </font>
    <font>
      <sz val="9"/>
      <name val="Tahoma"/>
      <family val="2"/>
    </font>
    <font>
      <sz val="11"/>
      <color indexed="8"/>
      <name val="Arial"/>
      <family val="2"/>
    </font>
    <font>
      <sz val="11"/>
      <color theme="1"/>
      <name val="Calibri"/>
      <family val="2"/>
    </font>
    <font>
      <i/>
      <sz val="11"/>
      <color indexed="8"/>
      <name val="Times New Roman"/>
      <family val="1"/>
    </font>
    <font>
      <sz val="11"/>
      <name val="Calibri"/>
      <family val="2"/>
      <charset val="163"/>
      <scheme val="minor"/>
    </font>
    <font>
      <b/>
      <sz val="8"/>
      <name val="Times New Roman"/>
      <family val="1"/>
    </font>
  </fonts>
  <fills count="8">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9" tint="0.39997558519241921"/>
        <bgColor indexed="64"/>
      </patternFill>
    </fill>
    <fill>
      <patternFill patternType="solid">
        <fgColor rgb="FFFFC7CE"/>
      </patternFill>
    </fill>
    <fill>
      <patternFill patternType="solid">
        <fgColor theme="5" tint="0.79998168889431442"/>
        <bgColor indexed="64"/>
      </patternFill>
    </fill>
    <fill>
      <patternFill patternType="solid">
        <fgColor theme="0"/>
        <bgColor rgb="FF000000"/>
      </patternFill>
    </fill>
  </fills>
  <borders count="18">
    <border>
      <left/>
      <right/>
      <top/>
      <bottom/>
      <diagonal/>
    </border>
    <border>
      <left/>
      <right/>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hair">
        <color auto="1"/>
      </bottom>
      <diagonal/>
    </border>
    <border>
      <left style="thin">
        <color indexed="64"/>
      </left>
      <right style="thin">
        <color indexed="64"/>
      </right>
      <top style="hair">
        <color indexed="64"/>
      </top>
      <bottom style="hair">
        <color indexed="64"/>
      </bottom>
      <diagonal/>
    </border>
    <border>
      <left style="thin">
        <color auto="1"/>
      </left>
      <right style="thin">
        <color auto="1"/>
      </right>
      <top style="hair">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style="thin">
        <color auto="1"/>
      </right>
      <top/>
      <bottom/>
      <diagonal/>
    </border>
    <border>
      <left style="thin">
        <color auto="1"/>
      </left>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auto="1"/>
      </right>
      <top style="thin">
        <color auto="1"/>
      </top>
      <bottom/>
      <diagonal/>
    </border>
  </borders>
  <cellStyleXfs count="57">
    <xf numFmtId="0" fontId="0" fillId="0" borderId="0"/>
    <xf numFmtId="164" fontId="5" fillId="0" borderId="0" applyFont="0" applyFill="0" applyBorder="0" applyAlignment="0" applyProtection="0"/>
    <xf numFmtId="0" fontId="5" fillId="0" borderId="0"/>
    <xf numFmtId="0" fontId="6" fillId="0" borderId="0"/>
    <xf numFmtId="164" fontId="6" fillId="0" borderId="0" applyFont="0" applyFill="0" applyBorder="0" applyAlignment="0" applyProtection="0"/>
    <xf numFmtId="0" fontId="5" fillId="0" borderId="0"/>
    <xf numFmtId="0" fontId="6" fillId="0" borderId="0"/>
    <xf numFmtId="0" fontId="6" fillId="0" borderId="0"/>
    <xf numFmtId="0" fontId="8" fillId="0" borderId="0" applyNumberFormat="0" applyFill="0" applyBorder="0" applyAlignment="0" applyProtection="0"/>
    <xf numFmtId="0" fontId="9" fillId="0" borderId="0"/>
    <xf numFmtId="0" fontId="6" fillId="0" borderId="0"/>
    <xf numFmtId="164" fontId="5" fillId="0" borderId="0" applyFont="0" applyFill="0" applyBorder="0" applyAlignment="0" applyProtection="0"/>
    <xf numFmtId="0" fontId="5" fillId="0" borderId="0"/>
    <xf numFmtId="0" fontId="6" fillId="0" borderId="0"/>
    <xf numFmtId="0" fontId="22" fillId="0" borderId="0"/>
    <xf numFmtId="0" fontId="8" fillId="0" borderId="0" applyNumberFormat="0" applyFill="0" applyBorder="0" applyAlignment="0" applyProtection="0"/>
    <xf numFmtId="169" fontId="23" fillId="0" borderId="0" applyFont="0" applyFill="0" applyBorder="0" applyAlignment="0" applyProtection="0"/>
    <xf numFmtId="0" fontId="5" fillId="0" borderId="0"/>
    <xf numFmtId="169" fontId="5" fillId="0" borderId="0" applyFont="0" applyFill="0" applyBorder="0" applyAlignment="0" applyProtection="0"/>
    <xf numFmtId="0" fontId="7" fillId="0" borderId="0"/>
    <xf numFmtId="0" fontId="26" fillId="0" borderId="0"/>
    <xf numFmtId="169" fontId="6" fillId="0" borderId="0" applyFont="0" applyFill="0" applyBorder="0" applyAlignment="0" applyProtection="0"/>
    <xf numFmtId="169" fontId="5" fillId="0" borderId="0" applyFont="0" applyFill="0" applyBorder="0" applyAlignment="0" applyProtection="0"/>
    <xf numFmtId="0" fontId="26" fillId="0" borderId="0"/>
    <xf numFmtId="0" fontId="27" fillId="0" borderId="0"/>
    <xf numFmtId="0" fontId="27" fillId="0" borderId="0"/>
    <xf numFmtId="170" fontId="29" fillId="0" borderId="0" applyFont="0" applyFill="0" applyBorder="0" applyAlignment="0" applyProtection="0"/>
    <xf numFmtId="0" fontId="5" fillId="0" borderId="0"/>
    <xf numFmtId="0" fontId="34" fillId="0" borderId="0"/>
    <xf numFmtId="0" fontId="34" fillId="0" borderId="0"/>
    <xf numFmtId="0" fontId="38" fillId="0" borderId="0"/>
    <xf numFmtId="0" fontId="5" fillId="0" borderId="0"/>
    <xf numFmtId="0" fontId="6" fillId="0" borderId="0"/>
    <xf numFmtId="0" fontId="5" fillId="0" borderId="0"/>
    <xf numFmtId="0" fontId="38" fillId="0" borderId="0"/>
    <xf numFmtId="0" fontId="5" fillId="0" borderId="0"/>
    <xf numFmtId="169" fontId="6" fillId="0" borderId="0" applyFont="0" applyFill="0" applyBorder="0" applyAlignment="0" applyProtection="0"/>
    <xf numFmtId="169" fontId="4" fillId="0" borderId="0" applyFont="0" applyFill="0" applyBorder="0" applyAlignment="0" applyProtection="0"/>
    <xf numFmtId="41" fontId="5" fillId="0" borderId="0" applyFont="0" applyFill="0" applyBorder="0" applyAlignment="0" applyProtection="0"/>
    <xf numFmtId="0" fontId="42" fillId="5" borderId="0" applyNumberFormat="0" applyBorder="0" applyAlignment="0" applyProtection="0"/>
    <xf numFmtId="0" fontId="27" fillId="0" borderId="0"/>
    <xf numFmtId="0" fontId="38" fillId="0" borderId="0"/>
    <xf numFmtId="0" fontId="5" fillId="0" borderId="0"/>
    <xf numFmtId="0" fontId="3" fillId="0" borderId="0"/>
    <xf numFmtId="0" fontId="3" fillId="0" borderId="0"/>
    <xf numFmtId="169" fontId="6" fillId="0" borderId="0" applyFont="0" applyFill="0" applyBorder="0" applyAlignment="0" applyProtection="0"/>
    <xf numFmtId="0" fontId="3" fillId="0" borderId="0"/>
    <xf numFmtId="0" fontId="38" fillId="0" borderId="0"/>
    <xf numFmtId="172" fontId="49" fillId="0" borderId="0" applyFont="0" applyFill="0" applyBorder="0" applyAlignment="0" applyProtection="0"/>
    <xf numFmtId="173" fontId="26" fillId="0" borderId="0" applyFont="0" applyFill="0" applyBorder="0" applyAlignment="0" applyProtection="0"/>
    <xf numFmtId="172" fontId="3" fillId="0" borderId="0" applyFont="0" applyFill="0" applyBorder="0" applyAlignment="0" applyProtection="0"/>
    <xf numFmtId="0" fontId="50" fillId="0" borderId="0"/>
    <xf numFmtId="0" fontId="2" fillId="0" borderId="0"/>
    <xf numFmtId="0" fontId="2" fillId="0" borderId="0"/>
    <xf numFmtId="0" fontId="5" fillId="0" borderId="0"/>
    <xf numFmtId="0" fontId="1" fillId="0" borderId="0"/>
    <xf numFmtId="0" fontId="26" fillId="0" borderId="0"/>
  </cellStyleXfs>
  <cellXfs count="505">
    <xf numFmtId="0" fontId="0" fillId="0" borderId="0" xfId="0"/>
    <xf numFmtId="0" fontId="12" fillId="0" borderId="0" xfId="0" applyFont="1" applyAlignment="1">
      <alignment horizontal="center" vertical="center"/>
    </xf>
    <xf numFmtId="0" fontId="12" fillId="0" borderId="0" xfId="0" applyFont="1" applyAlignment="1">
      <alignment vertical="center"/>
    </xf>
    <xf numFmtId="166" fontId="12" fillId="0" borderId="0" xfId="1" applyNumberFormat="1" applyFont="1" applyAlignment="1">
      <alignment horizontal="center" vertical="center"/>
    </xf>
    <xf numFmtId="0" fontId="13" fillId="0" borderId="0" xfId="0" applyFont="1" applyAlignment="1">
      <alignment vertical="center"/>
    </xf>
    <xf numFmtId="166" fontId="13" fillId="0" borderId="0" xfId="1" applyNumberFormat="1" applyFont="1" applyAlignment="1">
      <alignment vertical="center"/>
    </xf>
    <xf numFmtId="0" fontId="12" fillId="0" borderId="2" xfId="0" applyFont="1" applyBorder="1" applyAlignment="1">
      <alignment horizontal="center" vertical="center" wrapText="1"/>
    </xf>
    <xf numFmtId="166" fontId="12" fillId="0" borderId="2" xfId="1" applyNumberFormat="1" applyFont="1" applyBorder="1" applyAlignment="1">
      <alignment horizontal="center" vertical="center" wrapText="1"/>
    </xf>
    <xf numFmtId="0" fontId="12" fillId="0" borderId="3" xfId="0" applyFont="1" applyBorder="1" applyAlignment="1">
      <alignment horizontal="center" vertical="center"/>
    </xf>
    <xf numFmtId="0" fontId="12" fillId="0" borderId="3" xfId="0" applyFont="1" applyBorder="1" applyAlignment="1">
      <alignment vertical="center"/>
    </xf>
    <xf numFmtId="166" fontId="12" fillId="0" borderId="4" xfId="1" applyNumberFormat="1" applyFont="1" applyBorder="1" applyAlignment="1">
      <alignment horizontal="right" vertical="center" wrapText="1"/>
    </xf>
    <xf numFmtId="0" fontId="12" fillId="3" borderId="4" xfId="0" applyFont="1" applyFill="1" applyBorder="1" applyAlignment="1">
      <alignment horizontal="center" vertical="center"/>
    </xf>
    <xf numFmtId="0" fontId="12" fillId="3" borderId="4" xfId="0" applyFont="1" applyFill="1" applyBorder="1" applyAlignment="1">
      <alignment vertical="center"/>
    </xf>
    <xf numFmtId="166" fontId="12" fillId="3" borderId="4" xfId="1" applyNumberFormat="1" applyFont="1" applyFill="1" applyBorder="1" applyAlignment="1">
      <alignment horizontal="right" vertical="center" wrapText="1"/>
    </xf>
    <xf numFmtId="3" fontId="12" fillId="3" borderId="4" xfId="0" applyNumberFormat="1" applyFont="1" applyFill="1" applyBorder="1" applyAlignment="1">
      <alignment vertical="center"/>
    </xf>
    <xf numFmtId="0" fontId="15" fillId="3" borderId="4" xfId="0" applyFont="1" applyFill="1" applyBorder="1" applyAlignment="1">
      <alignment vertical="center" wrapText="1"/>
    </xf>
    <xf numFmtId="0" fontId="12" fillId="3" borderId="0" xfId="0" applyFont="1" applyFill="1" applyAlignment="1">
      <alignment vertical="center"/>
    </xf>
    <xf numFmtId="0" fontId="12" fillId="0" borderId="4" xfId="0" applyFont="1" applyBorder="1" applyAlignment="1">
      <alignment horizontal="center" vertical="center"/>
    </xf>
    <xf numFmtId="0" fontId="12" fillId="0" borderId="4" xfId="0" applyFont="1" applyBorder="1" applyAlignment="1">
      <alignment vertical="center"/>
    </xf>
    <xf numFmtId="166" fontId="12" fillId="0" borderId="4" xfId="1" applyNumberFormat="1" applyFont="1" applyBorder="1" applyAlignment="1">
      <alignment vertical="center"/>
    </xf>
    <xf numFmtId="0" fontId="15" fillId="0" borderId="4" xfId="0" applyFont="1" applyBorder="1" applyAlignment="1">
      <alignment vertical="center" wrapText="1"/>
    </xf>
    <xf numFmtId="0" fontId="13" fillId="0" borderId="4" xfId="0" applyFont="1" applyBorder="1" applyAlignment="1">
      <alignment horizontal="center" vertical="center"/>
    </xf>
    <xf numFmtId="0" fontId="13" fillId="0" borderId="4" xfId="0" applyFont="1" applyBorder="1" applyAlignment="1">
      <alignment vertical="center"/>
    </xf>
    <xf numFmtId="166" fontId="13" fillId="0" borderId="4" xfId="1" applyNumberFormat="1" applyFont="1" applyBorder="1" applyAlignment="1">
      <alignment vertical="center"/>
    </xf>
    <xf numFmtId="0" fontId="11" fillId="0" borderId="4" xfId="0" applyFont="1" applyBorder="1" applyAlignment="1">
      <alignment vertical="center"/>
    </xf>
    <xf numFmtId="0" fontId="16" fillId="0" borderId="4" xfId="0" applyFont="1" applyBorder="1" applyAlignment="1">
      <alignment horizontal="center" vertical="center"/>
    </xf>
    <xf numFmtId="0" fontId="16" fillId="0" borderId="4" xfId="0" applyFont="1" applyBorder="1" applyAlignment="1">
      <alignment vertical="center"/>
    </xf>
    <xf numFmtId="166" fontId="16" fillId="0" borderId="4" xfId="1" applyNumberFormat="1" applyFont="1" applyBorder="1" applyAlignment="1">
      <alignment vertical="center"/>
    </xf>
    <xf numFmtId="0" fontId="15" fillId="0" borderId="4" xfId="0" applyFont="1" applyBorder="1" applyAlignment="1">
      <alignment vertical="center"/>
    </xf>
    <xf numFmtId="0" fontId="16" fillId="0" borderId="0" xfId="0" applyFont="1" applyAlignment="1">
      <alignment vertical="center"/>
    </xf>
    <xf numFmtId="3" fontId="17" fillId="2" borderId="4" xfId="0" applyNumberFormat="1" applyFont="1" applyFill="1" applyBorder="1" applyAlignment="1">
      <alignment horizontal="justify" vertical="center" wrapText="1"/>
    </xf>
    <xf numFmtId="0" fontId="10" fillId="0" borderId="4" xfId="0" applyFont="1" applyBorder="1" applyAlignment="1">
      <alignment vertical="center"/>
    </xf>
    <xf numFmtId="0" fontId="13" fillId="0" borderId="4" xfId="0" applyFont="1" applyBorder="1" applyAlignment="1">
      <alignment vertical="center" wrapText="1"/>
    </xf>
    <xf numFmtId="3" fontId="18" fillId="2" borderId="4" xfId="1" applyNumberFormat="1" applyFont="1" applyFill="1" applyBorder="1" applyAlignment="1">
      <alignment horizontal="right" vertical="center" wrapText="1"/>
    </xf>
    <xf numFmtId="0" fontId="16" fillId="0" borderId="4" xfId="0" applyFont="1" applyBorder="1" applyAlignment="1">
      <alignment vertical="center" wrapText="1"/>
    </xf>
    <xf numFmtId="3" fontId="17" fillId="2" borderId="4" xfId="1" applyNumberFormat="1" applyFont="1" applyFill="1" applyBorder="1" applyAlignment="1">
      <alignment horizontal="right" vertical="center" wrapText="1"/>
    </xf>
    <xf numFmtId="3" fontId="13" fillId="0" borderId="4" xfId="0" applyNumberFormat="1" applyFont="1" applyBorder="1" applyAlignment="1">
      <alignment vertical="center"/>
    </xf>
    <xf numFmtId="3" fontId="12" fillId="0" borderId="4" xfId="0" applyNumberFormat="1" applyFont="1" applyBorder="1" applyAlignment="1">
      <alignment horizontal="right" vertical="center" wrapText="1"/>
    </xf>
    <xf numFmtId="166" fontId="17" fillId="2" borderId="4" xfId="1" applyNumberFormat="1" applyFont="1" applyFill="1" applyBorder="1" applyAlignment="1">
      <alignment horizontal="right" vertical="center" wrapText="1"/>
    </xf>
    <xf numFmtId="0" fontId="13" fillId="3" borderId="0" xfId="0" applyFont="1" applyFill="1" applyAlignment="1">
      <alignment vertical="center"/>
    </xf>
    <xf numFmtId="3" fontId="10" fillId="0" borderId="4" xfId="0" applyNumberFormat="1" applyFont="1" applyBorder="1" applyAlignment="1">
      <alignment horizontal="right" vertical="center" wrapText="1"/>
    </xf>
    <xf numFmtId="166" fontId="13" fillId="0" borderId="4" xfId="1" applyNumberFormat="1" applyFont="1" applyBorder="1" applyAlignment="1">
      <alignment horizontal="right" vertical="center" wrapText="1"/>
    </xf>
    <xf numFmtId="3" fontId="13" fillId="0" borderId="4" xfId="0" applyNumberFormat="1" applyFont="1" applyBorder="1" applyAlignment="1">
      <alignment horizontal="right" vertical="center" wrapText="1"/>
    </xf>
    <xf numFmtId="166" fontId="16" fillId="0" borderId="4" xfId="1" applyNumberFormat="1" applyFont="1" applyBorder="1" applyAlignment="1">
      <alignment horizontal="right" vertical="center" wrapText="1"/>
    </xf>
    <xf numFmtId="3" fontId="16" fillId="0" borderId="4" xfId="0" applyNumberFormat="1" applyFont="1" applyBorder="1" applyAlignment="1">
      <alignment horizontal="right" vertical="center" wrapText="1"/>
    </xf>
    <xf numFmtId="3" fontId="19" fillId="0" borderId="4" xfId="0" applyNumberFormat="1" applyFont="1" applyBorder="1" applyAlignment="1">
      <alignment horizontal="right" vertical="center" wrapText="1"/>
    </xf>
    <xf numFmtId="3" fontId="17" fillId="2" borderId="4" xfId="2" applyNumberFormat="1" applyFont="1" applyFill="1" applyBorder="1" applyAlignment="1">
      <alignment horizontal="left" vertical="center" wrapText="1"/>
    </xf>
    <xf numFmtId="3" fontId="12" fillId="0" borderId="4" xfId="0" applyNumberFormat="1" applyFont="1" applyBorder="1" applyAlignment="1">
      <alignment vertical="center"/>
    </xf>
    <xf numFmtId="166" fontId="18" fillId="2" borderId="4" xfId="1" applyNumberFormat="1" applyFont="1" applyFill="1" applyBorder="1" applyAlignment="1">
      <alignment horizontal="right" vertical="center" wrapText="1"/>
    </xf>
    <xf numFmtId="0" fontId="13" fillId="3" borderId="4" xfId="0" applyFont="1" applyFill="1" applyBorder="1" applyAlignment="1">
      <alignment vertical="center"/>
    </xf>
    <xf numFmtId="0" fontId="20" fillId="2" borderId="4" xfId="0" applyFont="1" applyFill="1" applyBorder="1" applyAlignment="1">
      <alignment vertical="center" wrapText="1"/>
    </xf>
    <xf numFmtId="3" fontId="18" fillId="2" borderId="4" xfId="2" applyNumberFormat="1" applyFont="1" applyFill="1" applyBorder="1" applyAlignment="1">
      <alignment horizontal="left" vertical="center" wrapText="1"/>
    </xf>
    <xf numFmtId="3" fontId="16" fillId="0" borderId="4" xfId="0" applyNumberFormat="1" applyFont="1" applyBorder="1" applyAlignment="1">
      <alignment vertical="center"/>
    </xf>
    <xf numFmtId="0" fontId="16" fillId="0" borderId="5" xfId="0" applyFont="1" applyBorder="1" applyAlignment="1">
      <alignment horizontal="center" vertical="center"/>
    </xf>
    <xf numFmtId="3" fontId="17" fillId="2" borderId="5" xfId="2" applyNumberFormat="1" applyFont="1" applyFill="1" applyBorder="1" applyAlignment="1">
      <alignment horizontal="left" vertical="center" wrapText="1"/>
    </xf>
    <xf numFmtId="166" fontId="19" fillId="0" borderId="5" xfId="1" applyNumberFormat="1" applyFont="1" applyBorder="1" applyAlignment="1">
      <alignment vertical="center"/>
    </xf>
    <xf numFmtId="3" fontId="16" fillId="0" borderId="5" xfId="0" applyNumberFormat="1" applyFont="1" applyBorder="1" applyAlignment="1">
      <alignment vertical="center"/>
    </xf>
    <xf numFmtId="0" fontId="19" fillId="0" borderId="5" xfId="0" applyFont="1" applyBorder="1" applyAlignment="1">
      <alignment vertical="center"/>
    </xf>
    <xf numFmtId="0" fontId="19" fillId="0" borderId="0" xfId="0" applyFont="1" applyAlignment="1">
      <alignment vertical="center"/>
    </xf>
    <xf numFmtId="0" fontId="12" fillId="4" borderId="4" xfId="0" applyFont="1" applyFill="1" applyBorder="1" applyAlignment="1">
      <alignment horizontal="center" vertical="center"/>
    </xf>
    <xf numFmtId="0" fontId="12" fillId="4" borderId="4" xfId="0" applyFont="1" applyFill="1" applyBorder="1" applyAlignment="1">
      <alignment vertical="center"/>
    </xf>
    <xf numFmtId="166" fontId="12" fillId="4" borderId="4" xfId="1" applyNumberFormat="1" applyFont="1" applyFill="1" applyBorder="1" applyAlignment="1">
      <alignment horizontal="right" vertical="center" wrapText="1"/>
    </xf>
    <xf numFmtId="3" fontId="12" fillId="4" borderId="4" xfId="0" applyNumberFormat="1" applyFont="1" applyFill="1" applyBorder="1" applyAlignment="1">
      <alignment horizontal="right" vertical="center" wrapText="1"/>
    </xf>
    <xf numFmtId="3" fontId="12" fillId="4" borderId="4" xfId="0" applyNumberFormat="1" applyFont="1" applyFill="1" applyBorder="1" applyAlignment="1">
      <alignment vertical="center"/>
    </xf>
    <xf numFmtId="3" fontId="13" fillId="4" borderId="4" xfId="0" applyNumberFormat="1" applyFont="1" applyFill="1" applyBorder="1" applyAlignment="1">
      <alignment horizontal="right" vertical="center" wrapText="1"/>
    </xf>
    <xf numFmtId="3" fontId="10" fillId="4" borderId="4" xfId="0" applyNumberFormat="1" applyFont="1" applyFill="1" applyBorder="1" applyAlignment="1">
      <alignment horizontal="right" vertical="center" wrapText="1"/>
    </xf>
    <xf numFmtId="0" fontId="13" fillId="4" borderId="0" xfId="0" applyFont="1" applyFill="1" applyAlignment="1">
      <alignment vertical="center"/>
    </xf>
    <xf numFmtId="0" fontId="13" fillId="4" borderId="4" xfId="0" applyFont="1" applyFill="1" applyBorder="1" applyAlignment="1">
      <alignment vertical="center"/>
    </xf>
    <xf numFmtId="0" fontId="15" fillId="4" borderId="4" xfId="0" applyFont="1" applyFill="1" applyBorder="1" applyAlignment="1">
      <alignment vertical="center" wrapText="1"/>
    </xf>
    <xf numFmtId="3" fontId="13" fillId="0" borderId="4" xfId="1" applyNumberFormat="1" applyFont="1" applyFill="1" applyBorder="1" applyAlignment="1">
      <alignment vertical="center"/>
    </xf>
    <xf numFmtId="3" fontId="16" fillId="0" borderId="4" xfId="1" applyNumberFormat="1" applyFont="1" applyBorder="1" applyAlignment="1">
      <alignment vertical="center"/>
    </xf>
    <xf numFmtId="1" fontId="16" fillId="0" borderId="4" xfId="0" applyNumberFormat="1" applyFont="1" applyBorder="1" applyAlignment="1">
      <alignment vertical="center"/>
    </xf>
    <xf numFmtId="3" fontId="12" fillId="0" borderId="4" xfId="1" applyNumberFormat="1" applyFont="1" applyBorder="1" applyAlignment="1">
      <alignment vertical="center"/>
    </xf>
    <xf numFmtId="3" fontId="13" fillId="0" borderId="4" xfId="1" applyNumberFormat="1" applyFont="1" applyBorder="1" applyAlignment="1">
      <alignment vertical="center"/>
    </xf>
    <xf numFmtId="167" fontId="16" fillId="0" borderId="4" xfId="1" applyNumberFormat="1" applyFont="1" applyBorder="1" applyAlignment="1">
      <alignment vertical="center"/>
    </xf>
    <xf numFmtId="0" fontId="25" fillId="0" borderId="2" xfId="0" applyFont="1" applyBorder="1" applyAlignment="1">
      <alignment horizontal="left" vertical="center" wrapText="1"/>
    </xf>
    <xf numFmtId="168" fontId="30" fillId="0" borderId="2" xfId="1" applyNumberFormat="1" applyFont="1" applyFill="1" applyBorder="1" applyAlignment="1">
      <alignment horizontal="center" vertical="center" wrapText="1"/>
    </xf>
    <xf numFmtId="0" fontId="33" fillId="0" borderId="2" xfId="0" applyFont="1" applyBorder="1" applyAlignment="1">
      <alignment horizontal="center" vertical="center" wrapText="1"/>
    </xf>
    <xf numFmtId="0" fontId="36" fillId="0" borderId="0" xfId="0" applyFont="1"/>
    <xf numFmtId="168" fontId="0" fillId="0" borderId="0" xfId="0" applyNumberFormat="1"/>
    <xf numFmtId="0" fontId="0" fillId="3" borderId="0" xfId="0" applyFill="1"/>
    <xf numFmtId="0" fontId="36" fillId="3" borderId="0" xfId="0" applyFont="1" applyFill="1"/>
    <xf numFmtId="0" fontId="37" fillId="3" borderId="0" xfId="0" applyFont="1" applyFill="1"/>
    <xf numFmtId="3" fontId="40" fillId="0" borderId="1" xfId="31" applyNumberFormat="1" applyFont="1" applyBorder="1" applyAlignment="1">
      <alignment vertical="center"/>
    </xf>
    <xf numFmtId="3" fontId="37" fillId="0" borderId="1" xfId="32" applyNumberFormat="1" applyFont="1" applyBorder="1" applyAlignment="1">
      <alignment horizontal="left" vertical="center"/>
    </xf>
    <xf numFmtId="3" fontId="25" fillId="0" borderId="2" xfId="31" applyNumberFormat="1" applyFont="1" applyBorder="1" applyAlignment="1">
      <alignment horizontal="center" vertical="center" wrapText="1"/>
    </xf>
    <xf numFmtId="3" fontId="36" fillId="0" borderId="2" xfId="31" applyNumberFormat="1" applyFont="1" applyBorder="1" applyAlignment="1">
      <alignment horizontal="right" vertical="center" wrapText="1"/>
    </xf>
    <xf numFmtId="3" fontId="40" fillId="0" borderId="2" xfId="31" applyNumberFormat="1" applyFont="1" applyBorder="1" applyAlignment="1">
      <alignment horizontal="right" vertical="center" wrapText="1"/>
    </xf>
    <xf numFmtId="3" fontId="5" fillId="0" borderId="2" xfId="31" applyNumberFormat="1" applyBorder="1" applyAlignment="1">
      <alignment horizontal="right" vertical="center" wrapText="1"/>
    </xf>
    <xf numFmtId="3" fontId="36" fillId="0" borderId="2" xfId="31" quotePrefix="1" applyNumberFormat="1" applyFont="1" applyBorder="1" applyAlignment="1">
      <alignment horizontal="center" vertical="center"/>
    </xf>
    <xf numFmtId="3" fontId="37" fillId="0" borderId="2" xfId="31" applyNumberFormat="1" applyFont="1" applyBorder="1" applyAlignment="1">
      <alignment horizontal="right" vertical="center" wrapText="1"/>
    </xf>
    <xf numFmtId="3" fontId="37" fillId="0" borderId="2" xfId="35" applyNumberFormat="1" applyFont="1" applyBorder="1" applyAlignment="1">
      <alignment horizontal="center"/>
    </xf>
    <xf numFmtId="3" fontId="37" fillId="0" borderId="2" xfId="31" quotePrefix="1" applyNumberFormat="1" applyFont="1" applyBorder="1" applyAlignment="1">
      <alignment vertical="center" wrapText="1"/>
    </xf>
    <xf numFmtId="0" fontId="39" fillId="0" borderId="2" xfId="0" applyFont="1" applyBorder="1"/>
    <xf numFmtId="0" fontId="14" fillId="0" borderId="0" xfId="0" applyFont="1" applyAlignment="1">
      <alignment horizontal="center"/>
    </xf>
    <xf numFmtId="0" fontId="14" fillId="0" borderId="0" xfId="0" applyFont="1"/>
    <xf numFmtId="0" fontId="35" fillId="0" borderId="1" xfId="0" applyFont="1" applyBorder="1" applyAlignment="1">
      <alignment horizontal="right"/>
    </xf>
    <xf numFmtId="0" fontId="35" fillId="0" borderId="0" xfId="0" applyFont="1" applyAlignment="1">
      <alignment horizontal="right"/>
    </xf>
    <xf numFmtId="168" fontId="33" fillId="0" borderId="2" xfId="0" applyNumberFormat="1" applyFont="1" applyBorder="1"/>
    <xf numFmtId="168" fontId="33" fillId="0" borderId="2" xfId="37" applyNumberFormat="1" applyFont="1" applyBorder="1" applyAlignment="1">
      <alignment vertical="center"/>
    </xf>
    <xf numFmtId="168" fontId="14" fillId="0" borderId="2" xfId="37" applyNumberFormat="1" applyFont="1" applyBorder="1" applyAlignment="1">
      <alignment vertical="center"/>
    </xf>
    <xf numFmtId="168" fontId="14" fillId="0" borderId="2" xfId="0" applyNumberFormat="1" applyFont="1" applyBorder="1"/>
    <xf numFmtId="3" fontId="25" fillId="0" borderId="2" xfId="31" applyNumberFormat="1" applyFont="1" applyBorder="1" applyAlignment="1">
      <alignment horizontal="left" vertical="center" wrapText="1"/>
    </xf>
    <xf numFmtId="3" fontId="25" fillId="0" borderId="2" xfId="31" applyNumberFormat="1" applyFont="1" applyBorder="1" applyAlignment="1">
      <alignment horizontal="right" vertical="center" wrapText="1"/>
    </xf>
    <xf numFmtId="3" fontId="25" fillId="0" borderId="2" xfId="33" applyNumberFormat="1" applyFont="1" applyBorder="1" applyAlignment="1">
      <alignment horizontal="center" vertical="center" wrapText="1"/>
    </xf>
    <xf numFmtId="3" fontId="41" fillId="0" borderId="2" xfId="33" applyNumberFormat="1" applyFont="1" applyBorder="1" applyAlignment="1">
      <alignment horizontal="left" vertical="center" wrapText="1"/>
    </xf>
    <xf numFmtId="3" fontId="41" fillId="0" borderId="2" xfId="31" applyNumberFormat="1" applyFont="1" applyBorder="1" applyAlignment="1">
      <alignment horizontal="right" vertical="center" wrapText="1"/>
    </xf>
    <xf numFmtId="3" fontId="41" fillId="0" borderId="2" xfId="33" applyNumberFormat="1" applyFont="1" applyBorder="1" applyAlignment="1">
      <alignment horizontal="center" vertical="center" wrapText="1"/>
    </xf>
    <xf numFmtId="49" fontId="25" fillId="0" borderId="2" xfId="34" applyNumberFormat="1" applyFont="1" applyBorder="1" applyAlignment="1">
      <alignment horizontal="left" vertical="center" wrapText="1"/>
    </xf>
    <xf numFmtId="3" fontId="24" fillId="0" borderId="2" xfId="31" quotePrefix="1" applyNumberFormat="1" applyFont="1" applyBorder="1" applyAlignment="1">
      <alignment horizontal="center" vertical="center" wrapText="1"/>
    </xf>
    <xf numFmtId="3" fontId="24" fillId="0" borderId="2" xfId="31" quotePrefix="1" applyNumberFormat="1" applyFont="1" applyBorder="1" applyAlignment="1">
      <alignment horizontal="left" vertical="center" wrapText="1"/>
    </xf>
    <xf numFmtId="3" fontId="24" fillId="0" borderId="2" xfId="31" applyNumberFormat="1" applyFont="1" applyBorder="1" applyAlignment="1">
      <alignment horizontal="right" vertical="center" wrapText="1"/>
    </xf>
    <xf numFmtId="3" fontId="28" fillId="0" borderId="2" xfId="31" quotePrefix="1" applyNumberFormat="1" applyFont="1" applyBorder="1" applyAlignment="1">
      <alignment horizontal="center" vertical="center" wrapText="1"/>
    </xf>
    <xf numFmtId="3" fontId="28" fillId="0" borderId="2" xfId="31" quotePrefix="1" applyNumberFormat="1" applyFont="1" applyBorder="1" applyAlignment="1">
      <alignment horizontal="left" vertical="center" wrapText="1"/>
    </xf>
    <xf numFmtId="0" fontId="25" fillId="0" borderId="2" xfId="31" applyFont="1" applyBorder="1" applyAlignment="1">
      <alignment horizontal="left" vertical="center" wrapText="1" shrinkToFit="1"/>
    </xf>
    <xf numFmtId="3" fontId="25" fillId="0" borderId="2" xfId="31" quotePrefix="1" applyNumberFormat="1" applyFont="1" applyBorder="1" applyAlignment="1">
      <alignment horizontal="center" vertical="center" wrapText="1"/>
    </xf>
    <xf numFmtId="49" fontId="24" fillId="0" borderId="2" xfId="34" quotePrefix="1" applyNumberFormat="1" applyFont="1" applyBorder="1" applyAlignment="1">
      <alignment horizontal="left" vertical="center" wrapText="1"/>
    </xf>
    <xf numFmtId="0" fontId="24" fillId="0" borderId="2" xfId="31" quotePrefix="1" applyFont="1" applyBorder="1" applyAlignment="1">
      <alignment horizontal="left" vertical="center" wrapText="1"/>
    </xf>
    <xf numFmtId="0" fontId="25" fillId="0" borderId="2" xfId="31" quotePrefix="1" applyFont="1" applyBorder="1" applyAlignment="1">
      <alignment horizontal="left" vertical="center" wrapText="1"/>
    </xf>
    <xf numFmtId="0" fontId="24" fillId="0" borderId="2" xfId="31" applyFont="1" applyBorder="1" applyAlignment="1">
      <alignment horizontal="left" vertical="center" wrapText="1"/>
    </xf>
    <xf numFmtId="3" fontId="24" fillId="0" borderId="2" xfId="31" applyNumberFormat="1" applyFont="1" applyBorder="1" applyAlignment="1">
      <alignment horizontal="left" vertical="center" wrapText="1"/>
    </xf>
    <xf numFmtId="3" fontId="28" fillId="0" borderId="2" xfId="31" applyNumberFormat="1" applyFont="1" applyBorder="1" applyAlignment="1">
      <alignment horizontal="right" vertical="center" wrapText="1"/>
    </xf>
    <xf numFmtId="3" fontId="25" fillId="0" borderId="2" xfId="31" quotePrefix="1" applyNumberFormat="1" applyFont="1" applyBorder="1" applyAlignment="1">
      <alignment horizontal="left" vertical="center" wrapText="1"/>
    </xf>
    <xf numFmtId="3" fontId="24" fillId="0" borderId="2" xfId="33" quotePrefix="1" applyNumberFormat="1" applyFont="1" applyBorder="1" applyAlignment="1">
      <alignment horizontal="left" vertical="center" wrapText="1"/>
    </xf>
    <xf numFmtId="3" fontId="25" fillId="0" borderId="2" xfId="33" applyNumberFormat="1" applyFont="1" applyBorder="1" applyAlignment="1">
      <alignment horizontal="left" vertical="center" wrapText="1"/>
    </xf>
    <xf numFmtId="3" fontId="25" fillId="0" borderId="2" xfId="33" applyNumberFormat="1" applyFont="1" applyBorder="1" applyAlignment="1">
      <alignment horizontal="right" vertical="center" wrapText="1"/>
    </xf>
    <xf numFmtId="3" fontId="24" fillId="0" borderId="2" xfId="31" applyNumberFormat="1" applyFont="1" applyBorder="1" applyAlignment="1">
      <alignment horizontal="center" vertical="center" wrapText="1"/>
    </xf>
    <xf numFmtId="3" fontId="28" fillId="0" borderId="2" xfId="33" applyNumberFormat="1" applyFont="1" applyBorder="1" applyAlignment="1">
      <alignment horizontal="center" vertical="center" wrapText="1"/>
    </xf>
    <xf numFmtId="3" fontId="28" fillId="0" borderId="2" xfId="33" quotePrefix="1" applyNumberFormat="1" applyFont="1" applyBorder="1" applyAlignment="1">
      <alignment horizontal="left" vertical="center" wrapText="1"/>
    </xf>
    <xf numFmtId="3" fontId="24" fillId="0" borderId="2" xfId="35" applyNumberFormat="1" applyFont="1" applyBorder="1" applyAlignment="1">
      <alignment horizontal="center" vertical="center" wrapText="1"/>
    </xf>
    <xf numFmtId="3" fontId="25" fillId="0" borderId="2" xfId="36" applyNumberFormat="1" applyFont="1" applyFill="1" applyBorder="1" applyAlignment="1">
      <alignment horizontal="right" vertical="center" wrapText="1"/>
    </xf>
    <xf numFmtId="3" fontId="24" fillId="0" borderId="2" xfId="33" applyNumberFormat="1" applyFont="1" applyBorder="1" applyAlignment="1">
      <alignment horizontal="center" vertical="center" wrapText="1"/>
    </xf>
    <xf numFmtId="3" fontId="28" fillId="0" borderId="2" xfId="31" applyNumberFormat="1" applyFont="1" applyBorder="1" applyAlignment="1">
      <alignment horizontal="left" vertical="center" wrapText="1"/>
    </xf>
    <xf numFmtId="3" fontId="5" fillId="0" borderId="2" xfId="33" applyNumberFormat="1" applyBorder="1" applyAlignment="1">
      <alignment horizontal="right" vertical="center" wrapText="1"/>
    </xf>
    <xf numFmtId="0" fontId="36" fillId="0" borderId="2" xfId="40" applyFont="1" applyBorder="1" applyAlignment="1">
      <alignment horizontal="center" vertical="center" wrapText="1"/>
    </xf>
    <xf numFmtId="0" fontId="36" fillId="0" borderId="2" xfId="40" applyFont="1" applyBorder="1" applyAlignment="1">
      <alignment horizontal="left" vertical="center" wrapText="1"/>
    </xf>
    <xf numFmtId="0" fontId="36" fillId="0" borderId="2" xfId="41" applyFont="1" applyBorder="1" applyAlignment="1">
      <alignment horizontal="center" vertical="center" wrapText="1"/>
    </xf>
    <xf numFmtId="0" fontId="36" fillId="0" borderId="2" xfId="41" applyFont="1" applyBorder="1" applyAlignment="1">
      <alignment horizontal="left" vertical="center" wrapText="1"/>
    </xf>
    <xf numFmtId="0" fontId="36" fillId="0" borderId="2" xfId="35" applyFont="1" applyBorder="1" applyAlignment="1">
      <alignment horizontal="left" vertical="center" wrapText="1"/>
    </xf>
    <xf numFmtId="3" fontId="36" fillId="0" borderId="2" xfId="40" applyNumberFormat="1" applyFont="1" applyBorder="1" applyAlignment="1">
      <alignment horizontal="right" vertical="center" wrapText="1"/>
    </xf>
    <xf numFmtId="0" fontId="5" fillId="0" borderId="2" xfId="40" applyFont="1" applyBorder="1" applyAlignment="1">
      <alignment horizontal="center" vertical="center" wrapText="1"/>
    </xf>
    <xf numFmtId="0" fontId="5" fillId="0" borderId="2" xfId="40" applyFont="1" applyBorder="1" applyAlignment="1">
      <alignment horizontal="left" vertical="center" wrapText="1"/>
    </xf>
    <xf numFmtId="3" fontId="5" fillId="0" borderId="2" xfId="40" applyNumberFormat="1" applyFont="1" applyBorder="1" applyAlignment="1">
      <alignment horizontal="right" vertical="center" wrapText="1"/>
    </xf>
    <xf numFmtId="0" fontId="5" fillId="0" borderId="2" xfId="40" quotePrefix="1" applyFont="1" applyBorder="1" applyAlignment="1">
      <alignment horizontal="center" vertical="center" wrapText="1"/>
    </xf>
    <xf numFmtId="3" fontId="5" fillId="0" borderId="2" xfId="40" applyNumberFormat="1" applyFont="1" applyBorder="1" applyAlignment="1">
      <alignment horizontal="left" vertical="center" wrapText="1"/>
    </xf>
    <xf numFmtId="3" fontId="5" fillId="0" borderId="2" xfId="35" applyNumberFormat="1" applyBorder="1" applyAlignment="1">
      <alignment horizontal="right" vertical="center" wrapText="1"/>
    </xf>
    <xf numFmtId="0" fontId="5" fillId="0" borderId="2" xfId="41" applyFont="1" applyBorder="1" applyAlignment="1">
      <alignment horizontal="left" vertical="center" wrapText="1"/>
    </xf>
    <xf numFmtId="0" fontId="0" fillId="0" borderId="2" xfId="40" applyFont="1" applyBorder="1" applyAlignment="1">
      <alignment horizontal="left" vertical="center" wrapText="1"/>
    </xf>
    <xf numFmtId="0" fontId="5" fillId="0" borderId="0" xfId="0" applyFont="1"/>
    <xf numFmtId="0" fontId="24" fillId="0" borderId="2" xfId="0" applyFont="1" applyBorder="1" applyAlignment="1">
      <alignment horizontal="left" vertical="center" wrapText="1"/>
    </xf>
    <xf numFmtId="41" fontId="36" fillId="0" borderId="2" xfId="38" applyFont="1" applyFill="1" applyBorder="1"/>
    <xf numFmtId="168" fontId="31" fillId="0" borderId="0" xfId="1" applyNumberFormat="1" applyFont="1" applyFill="1" applyBorder="1" applyAlignment="1">
      <alignment horizontal="center" vertical="center" wrapText="1"/>
    </xf>
    <xf numFmtId="168" fontId="30" fillId="0" borderId="0" xfId="1" applyNumberFormat="1" applyFont="1" applyFill="1" applyBorder="1" applyAlignment="1">
      <alignment horizontal="center" vertical="center" wrapText="1"/>
    </xf>
    <xf numFmtId="168" fontId="30" fillId="0" borderId="0" xfId="1" applyNumberFormat="1" applyFont="1" applyFill="1" applyBorder="1" applyAlignment="1">
      <alignment horizontal="right" vertical="center" wrapText="1"/>
    </xf>
    <xf numFmtId="3" fontId="30" fillId="0" borderId="2" xfId="0" applyNumberFormat="1" applyFont="1" applyBorder="1" applyAlignment="1">
      <alignment horizontal="center" vertical="center" wrapText="1"/>
    </xf>
    <xf numFmtId="168" fontId="30" fillId="0" borderId="2" xfId="1" applyNumberFormat="1" applyFont="1" applyFill="1" applyBorder="1" applyAlignment="1">
      <alignment horizontal="right" vertical="center" wrapText="1"/>
    </xf>
    <xf numFmtId="0" fontId="30" fillId="0" borderId="2" xfId="0" applyFont="1" applyBorder="1" applyAlignment="1">
      <alignment vertical="center" wrapText="1"/>
    </xf>
    <xf numFmtId="0" fontId="30" fillId="0" borderId="2" xfId="39" applyFont="1" applyFill="1" applyBorder="1" applyAlignment="1">
      <alignment horizontal="left" vertical="top" wrapText="1"/>
    </xf>
    <xf numFmtId="0" fontId="31" fillId="0" borderId="2" xfId="39" applyFont="1" applyFill="1" applyBorder="1" applyAlignment="1">
      <alignment horizontal="left" vertical="top" wrapText="1"/>
    </xf>
    <xf numFmtId="168" fontId="31" fillId="0" borderId="2" xfId="1" applyNumberFormat="1" applyFont="1" applyFill="1" applyBorder="1" applyAlignment="1">
      <alignment horizontal="center" vertical="center" wrapText="1"/>
    </xf>
    <xf numFmtId="168" fontId="31" fillId="0" borderId="2" xfId="1" applyNumberFormat="1" applyFont="1" applyFill="1" applyBorder="1" applyAlignment="1">
      <alignment horizontal="right" vertical="center" wrapText="1"/>
    </xf>
    <xf numFmtId="3" fontId="30" fillId="0" borderId="2" xfId="0" applyNumberFormat="1" applyFont="1" applyBorder="1" applyAlignment="1">
      <alignment horizontal="left" vertical="center" wrapText="1"/>
    </xf>
    <xf numFmtId="3" fontId="31" fillId="0" borderId="2" xfId="0" applyNumberFormat="1" applyFont="1" applyBorder="1" applyAlignment="1">
      <alignment horizontal="left" vertical="center" wrapText="1"/>
    </xf>
    <xf numFmtId="0" fontId="31" fillId="0" borderId="2" xfId="42" applyFont="1" applyBorder="1" applyAlignment="1">
      <alignment horizontal="justify" vertical="center" wrapText="1"/>
    </xf>
    <xf numFmtId="0" fontId="31" fillId="0" borderId="2" xfId="42" applyFont="1" applyBorder="1" applyAlignment="1">
      <alignment horizontal="left" vertical="center" wrapText="1"/>
    </xf>
    <xf numFmtId="0" fontId="31" fillId="2" borderId="0" xfId="43" applyFont="1" applyFill="1" applyAlignment="1">
      <alignment horizontal="center" vertical="center" wrapText="1"/>
    </xf>
    <xf numFmtId="0" fontId="31" fillId="2" borderId="0" xfId="43" applyFont="1" applyFill="1" applyAlignment="1">
      <alignment horizontal="left" vertical="center" wrapText="1"/>
    </xf>
    <xf numFmtId="0" fontId="31" fillId="2" borderId="0" xfId="43" applyFont="1" applyFill="1" applyAlignment="1">
      <alignment horizontal="right" vertical="center" wrapText="1"/>
    </xf>
    <xf numFmtId="0" fontId="32" fillId="2" borderId="0" xfId="43" applyFont="1" applyFill="1" applyAlignment="1">
      <alignment horizontal="center" vertical="center" wrapText="1"/>
    </xf>
    <xf numFmtId="0" fontId="30" fillId="2" borderId="2" xfId="43" applyFont="1" applyFill="1" applyBorder="1" applyAlignment="1">
      <alignment horizontal="center" vertical="center" wrapText="1"/>
    </xf>
    <xf numFmtId="0" fontId="31" fillId="2" borderId="2" xfId="43" applyFont="1" applyFill="1" applyBorder="1" applyAlignment="1">
      <alignment horizontal="center" vertical="center" wrapText="1"/>
    </xf>
    <xf numFmtId="168" fontId="30" fillId="2" borderId="2" xfId="43" applyNumberFormat="1" applyFont="1" applyFill="1" applyBorder="1" applyAlignment="1">
      <alignment horizontal="center" vertical="center" wrapText="1"/>
    </xf>
    <xf numFmtId="166" fontId="30" fillId="2" borderId="2" xfId="43" applyNumberFormat="1" applyFont="1" applyFill="1" applyBorder="1" applyAlignment="1">
      <alignment horizontal="center" vertical="center" wrapText="1"/>
    </xf>
    <xf numFmtId="3" fontId="30" fillId="2" borderId="2" xfId="47" applyNumberFormat="1" applyFont="1" applyFill="1" applyBorder="1" applyAlignment="1">
      <alignment horizontal="right" vertical="center" wrapText="1"/>
    </xf>
    <xf numFmtId="166" fontId="30" fillId="2" borderId="2" xfId="47" applyNumberFormat="1" applyFont="1" applyFill="1" applyBorder="1" applyAlignment="1">
      <alignment horizontal="right" vertical="center" wrapText="1"/>
    </xf>
    <xf numFmtId="168" fontId="31" fillId="2" borderId="2" xfId="43" applyNumberFormat="1" applyFont="1" applyFill="1" applyBorder="1" applyAlignment="1">
      <alignment horizontal="right" vertical="center" wrapText="1"/>
    </xf>
    <xf numFmtId="166" fontId="31" fillId="2" borderId="2" xfId="43" applyNumberFormat="1" applyFont="1" applyFill="1" applyBorder="1" applyAlignment="1">
      <alignment horizontal="right" vertical="center" wrapText="1"/>
    </xf>
    <xf numFmtId="168" fontId="31" fillId="2" borderId="2" xfId="43" applyNumberFormat="1" applyFont="1" applyFill="1" applyBorder="1" applyAlignment="1">
      <alignment horizontal="center" vertical="center" wrapText="1"/>
    </xf>
    <xf numFmtId="168" fontId="30" fillId="2" borderId="2" xfId="43" applyNumberFormat="1" applyFont="1" applyFill="1" applyBorder="1" applyAlignment="1">
      <alignment horizontal="right" vertical="center" wrapText="1"/>
    </xf>
    <xf numFmtId="166" fontId="30" fillId="2" borderId="2" xfId="43" applyNumberFormat="1" applyFont="1" applyFill="1" applyBorder="1" applyAlignment="1">
      <alignment horizontal="right" vertical="center" wrapText="1"/>
    </xf>
    <xf numFmtId="168" fontId="31" fillId="0" borderId="2" xfId="43" applyNumberFormat="1" applyFont="1" applyBorder="1" applyAlignment="1">
      <alignment horizontal="right" vertical="center" wrapText="1"/>
    </xf>
    <xf numFmtId="166" fontId="31" fillId="0" borderId="2" xfId="43" applyNumberFormat="1" applyFont="1" applyBorder="1" applyAlignment="1">
      <alignment horizontal="right" vertical="center" wrapText="1"/>
    </xf>
    <xf numFmtId="168" fontId="31" fillId="0" borderId="2" xfId="43" applyNumberFormat="1" applyFont="1" applyBorder="1" applyAlignment="1">
      <alignment horizontal="center" vertical="center" wrapText="1"/>
    </xf>
    <xf numFmtId="3" fontId="31" fillId="0" borderId="2" xfId="48" applyNumberFormat="1" applyFont="1" applyFill="1" applyBorder="1" applyAlignment="1">
      <alignment horizontal="right" vertical="center" wrapText="1"/>
    </xf>
    <xf numFmtId="166" fontId="31" fillId="0" borderId="2" xfId="48" applyNumberFormat="1" applyFont="1" applyFill="1" applyBorder="1" applyAlignment="1">
      <alignment horizontal="right" vertical="center" wrapText="1"/>
    </xf>
    <xf numFmtId="165" fontId="31" fillId="0" borderId="2" xfId="43" applyNumberFormat="1" applyFont="1" applyBorder="1" applyAlignment="1">
      <alignment horizontal="right" vertical="center" wrapText="1"/>
    </xf>
    <xf numFmtId="3" fontId="31" fillId="0" borderId="2" xfId="49" applyNumberFormat="1" applyFont="1" applyFill="1" applyBorder="1" applyAlignment="1">
      <alignment horizontal="right" vertical="center" wrapText="1"/>
    </xf>
    <xf numFmtId="166" fontId="31" fillId="0" borderId="2" xfId="49" applyNumberFormat="1" applyFont="1" applyFill="1" applyBorder="1" applyAlignment="1">
      <alignment horizontal="right" vertical="center" wrapText="1"/>
    </xf>
    <xf numFmtId="3" fontId="31" fillId="0" borderId="2" xfId="50" applyNumberFormat="1" applyFont="1" applyFill="1" applyBorder="1" applyAlignment="1">
      <alignment horizontal="right" vertical="center" wrapText="1"/>
    </xf>
    <xf numFmtId="168" fontId="31" fillId="0" borderId="2" xfId="49" applyNumberFormat="1" applyFont="1" applyFill="1" applyBorder="1" applyAlignment="1">
      <alignment horizontal="right" vertical="center" wrapText="1"/>
    </xf>
    <xf numFmtId="0" fontId="31" fillId="0" borderId="2" xfId="0" applyFont="1" applyBorder="1" applyAlignment="1">
      <alignment wrapText="1"/>
    </xf>
    <xf numFmtId="165" fontId="30" fillId="0" borderId="2" xfId="43" applyNumberFormat="1" applyFont="1" applyBorder="1" applyAlignment="1">
      <alignment horizontal="right" vertical="center" wrapText="1"/>
    </xf>
    <xf numFmtId="166" fontId="30" fillId="0" borderId="2" xfId="43" applyNumberFormat="1" applyFont="1" applyBorder="1" applyAlignment="1">
      <alignment horizontal="right" vertical="center" wrapText="1"/>
    </xf>
    <xf numFmtId="3" fontId="30" fillId="0" borderId="2" xfId="49" applyNumberFormat="1" applyFont="1" applyFill="1" applyBorder="1" applyAlignment="1">
      <alignment horizontal="right" vertical="center" wrapText="1"/>
    </xf>
    <xf numFmtId="166" fontId="30" fillId="0" borderId="2" xfId="49" applyNumberFormat="1" applyFont="1" applyFill="1" applyBorder="1" applyAlignment="1">
      <alignment horizontal="right" vertical="center" wrapText="1"/>
    </xf>
    <xf numFmtId="168" fontId="30" fillId="0" borderId="2" xfId="43" applyNumberFormat="1" applyFont="1" applyBorder="1" applyAlignment="1">
      <alignment horizontal="right" vertical="center" wrapText="1"/>
    </xf>
    <xf numFmtId="0" fontId="31" fillId="2" borderId="2" xfId="42" applyFont="1" applyFill="1" applyBorder="1" applyAlignment="1">
      <alignment horizontal="left" vertical="center" wrapText="1"/>
    </xf>
    <xf numFmtId="0" fontId="31" fillId="2" borderId="2" xfId="42" applyFont="1" applyFill="1" applyBorder="1" applyAlignment="1">
      <alignment horizontal="justify" vertical="center" wrapText="1"/>
    </xf>
    <xf numFmtId="0" fontId="31" fillId="6" borderId="2" xfId="42" applyFont="1" applyFill="1" applyBorder="1" applyAlignment="1">
      <alignment horizontal="justify" vertical="center" wrapText="1"/>
    </xf>
    <xf numFmtId="0" fontId="30" fillId="0" borderId="2" xfId="42" applyFont="1" applyBorder="1" applyAlignment="1">
      <alignment horizontal="left" vertical="center" wrapText="1"/>
    </xf>
    <xf numFmtId="166" fontId="31" fillId="2" borderId="2" xfId="1" applyNumberFormat="1" applyFont="1" applyFill="1" applyBorder="1" applyAlignment="1">
      <alignment horizontal="right" vertical="center"/>
    </xf>
    <xf numFmtId="0" fontId="31" fillId="7" borderId="2" xfId="42" applyFont="1" applyFill="1" applyBorder="1" applyAlignment="1">
      <alignment horizontal="justify" vertical="center" wrapText="1"/>
    </xf>
    <xf numFmtId="3" fontId="31" fillId="2" borderId="2" xfId="51" applyNumberFormat="1" applyFont="1" applyFill="1" applyBorder="1" applyAlignment="1">
      <alignment horizontal="right" vertical="center" wrapText="1"/>
    </xf>
    <xf numFmtId="168" fontId="31" fillId="2" borderId="2" xfId="51" applyNumberFormat="1" applyFont="1" applyFill="1" applyBorder="1" applyAlignment="1">
      <alignment horizontal="right" vertical="center" wrapText="1"/>
    </xf>
    <xf numFmtId="0" fontId="30" fillId="2" borderId="0" xfId="43" applyFont="1" applyFill="1" applyAlignment="1">
      <alignment horizontal="center" vertical="center" wrapText="1"/>
    </xf>
    <xf numFmtId="49" fontId="17" fillId="2" borderId="0" xfId="2" applyNumberFormat="1" applyFont="1" applyFill="1" applyAlignment="1">
      <alignment horizontal="center" vertical="center" wrapText="1"/>
    </xf>
    <xf numFmtId="0" fontId="17" fillId="2" borderId="0" xfId="2" applyFont="1" applyFill="1" applyAlignment="1">
      <alignment horizontal="center" vertical="center" wrapText="1"/>
    </xf>
    <xf numFmtId="3" fontId="45" fillId="2" borderId="2" xfId="2" applyNumberFormat="1" applyFont="1" applyFill="1" applyBorder="1" applyAlignment="1">
      <alignment horizontal="center" vertical="center" wrapText="1"/>
    </xf>
    <xf numFmtId="0" fontId="17" fillId="2" borderId="2" xfId="2" applyFont="1" applyFill="1" applyBorder="1" applyAlignment="1">
      <alignment horizontal="center" vertical="center" wrapText="1"/>
    </xf>
    <xf numFmtId="0" fontId="45" fillId="2" borderId="2" xfId="0" applyFont="1" applyFill="1" applyBorder="1" applyAlignment="1">
      <alignment horizontal="center" vertical="center" wrapText="1"/>
    </xf>
    <xf numFmtId="0" fontId="45" fillId="2" borderId="2" xfId="42" applyFont="1" applyFill="1" applyBorder="1" applyAlignment="1">
      <alignment horizontal="left" vertical="center" wrapText="1"/>
    </xf>
    <xf numFmtId="167" fontId="45" fillId="2" borderId="2" xfId="42" applyNumberFormat="1" applyFont="1" applyFill="1" applyBorder="1" applyAlignment="1">
      <alignment horizontal="left" vertical="center" wrapText="1"/>
    </xf>
    <xf numFmtId="0" fontId="24" fillId="0" borderId="0" xfId="0" applyFont="1"/>
    <xf numFmtId="168" fontId="25" fillId="0" borderId="2" xfId="1" applyNumberFormat="1" applyFont="1" applyFill="1" applyBorder="1" applyAlignment="1">
      <alignment horizontal="center" vertical="center" wrapText="1"/>
    </xf>
    <xf numFmtId="168" fontId="25" fillId="0" borderId="11" xfId="1" applyNumberFormat="1" applyFont="1" applyFill="1" applyBorder="1" applyAlignment="1">
      <alignment horizontal="center" vertical="center" wrapText="1"/>
    </xf>
    <xf numFmtId="168" fontId="32" fillId="0" borderId="2" xfId="21" applyNumberFormat="1" applyFont="1" applyFill="1" applyBorder="1" applyAlignment="1">
      <alignment horizontal="left" vertical="center" wrapText="1"/>
    </xf>
    <xf numFmtId="168" fontId="32" fillId="0" borderId="9" xfId="21" applyNumberFormat="1" applyFont="1" applyFill="1" applyBorder="1" applyAlignment="1">
      <alignment horizontal="left" vertical="center" wrapText="1"/>
    </xf>
    <xf numFmtId="168" fontId="44" fillId="0" borderId="2" xfId="21" applyNumberFormat="1" applyFont="1" applyFill="1" applyBorder="1" applyAlignment="1">
      <alignment horizontal="left" vertical="center" wrapText="1"/>
    </xf>
    <xf numFmtId="0" fontId="32" fillId="0" borderId="0" xfId="0" applyFont="1" applyAlignment="1">
      <alignment horizontal="left"/>
    </xf>
    <xf numFmtId="41" fontId="24" fillId="0" borderId="2" xfId="38" applyFont="1" applyFill="1" applyBorder="1" applyAlignment="1">
      <alignment horizontal="right" vertical="center" wrapText="1"/>
    </xf>
    <xf numFmtId="174" fontId="44" fillId="0" borderId="11" xfId="38" applyNumberFormat="1" applyFont="1" applyFill="1" applyBorder="1" applyAlignment="1">
      <alignment horizontal="center" vertical="center" wrapText="1"/>
    </xf>
    <xf numFmtId="3" fontId="0" fillId="0" borderId="0" xfId="0" applyNumberFormat="1"/>
    <xf numFmtId="168" fontId="36" fillId="0" borderId="0" xfId="0" applyNumberFormat="1" applyFont="1"/>
    <xf numFmtId="0" fontId="36" fillId="0" borderId="2" xfId="0" applyFont="1" applyBorder="1"/>
    <xf numFmtId="164" fontId="0" fillId="0" borderId="0" xfId="1" applyFont="1" applyFill="1"/>
    <xf numFmtId="168" fontId="0" fillId="0" borderId="0" xfId="1" applyNumberFormat="1" applyFont="1" applyFill="1"/>
    <xf numFmtId="168" fontId="36" fillId="0" borderId="2" xfId="1" applyNumberFormat="1" applyFont="1" applyFill="1" applyBorder="1" applyAlignment="1">
      <alignment horizontal="center" vertical="center" wrapText="1"/>
    </xf>
    <xf numFmtId="168" fontId="36" fillId="0" borderId="2" xfId="21" applyNumberFormat="1" applyFont="1" applyFill="1" applyBorder="1" applyAlignment="1">
      <alignment vertical="center" wrapText="1"/>
    </xf>
    <xf numFmtId="168" fontId="36" fillId="0" borderId="2" xfId="1" applyNumberFormat="1" applyFont="1" applyFill="1" applyBorder="1" applyAlignment="1">
      <alignment vertical="center" wrapText="1"/>
    </xf>
    <xf numFmtId="168" fontId="0" fillId="0" borderId="2" xfId="1" applyNumberFormat="1" applyFont="1" applyFill="1" applyBorder="1" applyAlignment="1">
      <alignment vertical="center" wrapText="1"/>
    </xf>
    <xf numFmtId="168" fontId="0" fillId="0" borderId="2" xfId="21" applyNumberFormat="1" applyFont="1" applyFill="1" applyBorder="1" applyAlignment="1">
      <alignment vertical="center" wrapText="1"/>
    </xf>
    <xf numFmtId="168" fontId="37" fillId="0" borderId="2" xfId="21" applyNumberFormat="1" applyFont="1" applyFill="1" applyBorder="1" applyAlignment="1">
      <alignment vertical="center" wrapText="1"/>
    </xf>
    <xf numFmtId="168" fontId="37" fillId="0" borderId="2" xfId="1" applyNumberFormat="1" applyFont="1" applyFill="1" applyBorder="1" applyAlignment="1">
      <alignment vertical="center" wrapText="1"/>
    </xf>
    <xf numFmtId="0" fontId="0" fillId="0" borderId="2" xfId="0" applyBorder="1"/>
    <xf numFmtId="168" fontId="40" fillId="0" borderId="2" xfId="21" applyNumberFormat="1" applyFont="1" applyFill="1" applyBorder="1" applyAlignment="1">
      <alignment vertical="center" wrapText="1"/>
    </xf>
    <xf numFmtId="167" fontId="0" fillId="0" borderId="2" xfId="1" applyNumberFormat="1" applyFont="1" applyFill="1" applyBorder="1" applyAlignment="1">
      <alignment vertical="center" wrapText="1"/>
    </xf>
    <xf numFmtId="166" fontId="0" fillId="0" borderId="0" xfId="0" applyNumberFormat="1"/>
    <xf numFmtId="168" fontId="31" fillId="2" borderId="11" xfId="43" applyNumberFormat="1" applyFont="1" applyFill="1" applyBorder="1" applyAlignment="1">
      <alignment horizontal="center" vertical="center" wrapText="1"/>
    </xf>
    <xf numFmtId="3" fontId="45" fillId="2" borderId="10" xfId="2" applyNumberFormat="1" applyFont="1" applyFill="1" applyBorder="1" applyAlignment="1">
      <alignment horizontal="center" vertical="center" wrapText="1"/>
    </xf>
    <xf numFmtId="3" fontId="45" fillId="2" borderId="2" xfId="2" applyNumberFormat="1" applyFont="1" applyFill="1" applyBorder="1" applyAlignment="1">
      <alignment horizontal="right" vertical="center" wrapText="1"/>
    </xf>
    <xf numFmtId="0" fontId="18" fillId="2" borderId="2" xfId="0" applyFont="1" applyFill="1" applyBorder="1" applyAlignment="1">
      <alignment horizontal="center" vertical="center" wrapText="1"/>
    </xf>
    <xf numFmtId="0" fontId="18" fillId="2" borderId="2" xfId="42" applyFont="1" applyFill="1" applyBorder="1" applyAlignment="1">
      <alignment horizontal="justify" vertical="center" wrapText="1"/>
    </xf>
    <xf numFmtId="167" fontId="18" fillId="2" borderId="2" xfId="1" applyNumberFormat="1" applyFont="1" applyFill="1" applyBorder="1" applyAlignment="1">
      <alignment horizontal="justify" vertical="center" wrapText="1"/>
    </xf>
    <xf numFmtId="37" fontId="18" fillId="2" borderId="2" xfId="2" applyNumberFormat="1" applyFont="1" applyFill="1" applyBorder="1" applyAlignment="1">
      <alignment horizontal="right" vertical="center" wrapText="1"/>
    </xf>
    <xf numFmtId="3" fontId="18" fillId="2" borderId="2" xfId="2" applyNumberFormat="1" applyFont="1" applyFill="1" applyBorder="1" applyAlignment="1">
      <alignment horizontal="right" vertical="center" wrapText="1"/>
    </xf>
    <xf numFmtId="167" fontId="18" fillId="2" borderId="2" xfId="42" applyNumberFormat="1" applyFont="1" applyFill="1" applyBorder="1" applyAlignment="1">
      <alignment horizontal="left" vertical="center" wrapText="1"/>
    </xf>
    <xf numFmtId="3" fontId="18" fillId="2" borderId="2" xfId="2" applyNumberFormat="1" applyFont="1" applyFill="1" applyBorder="1" applyAlignment="1">
      <alignment horizontal="center" vertical="center" wrapText="1"/>
    </xf>
    <xf numFmtId="3" fontId="18" fillId="2" borderId="2" xfId="52" quotePrefix="1" applyNumberFormat="1" applyFont="1" applyFill="1" applyBorder="1" applyAlignment="1">
      <alignment horizontal="center" vertical="center" wrapText="1"/>
    </xf>
    <xf numFmtId="37" fontId="18" fillId="2" borderId="2" xfId="53" applyNumberFormat="1" applyFont="1" applyFill="1" applyBorder="1" applyAlignment="1">
      <alignment horizontal="right" vertical="center" wrapText="1"/>
    </xf>
    <xf numFmtId="0" fontId="25" fillId="0" borderId="0" xfId="0" applyFont="1" applyAlignment="1">
      <alignment horizontal="left" vertical="center"/>
    </xf>
    <xf numFmtId="0" fontId="25" fillId="0" borderId="0" xfId="0" applyFont="1" applyAlignment="1">
      <alignment horizontal="center" vertical="center" wrapText="1"/>
    </xf>
    <xf numFmtId="0" fontId="41" fillId="0" borderId="0" xfId="0" applyFont="1" applyAlignment="1">
      <alignment horizontal="center" vertical="center" wrapText="1"/>
    </xf>
    <xf numFmtId="3" fontId="46" fillId="0" borderId="2" xfId="0" applyNumberFormat="1" applyFont="1" applyBorder="1" applyAlignment="1">
      <alignment horizontal="center" vertical="center"/>
    </xf>
    <xf numFmtId="3" fontId="46" fillId="0" borderId="2" xfId="0" applyNumberFormat="1" applyFont="1" applyBorder="1" applyAlignment="1">
      <alignment horizontal="center" vertical="center" wrapText="1"/>
    </xf>
    <xf numFmtId="3" fontId="43" fillId="0" borderId="2" xfId="0" applyNumberFormat="1" applyFont="1" applyBorder="1" applyAlignment="1">
      <alignment vertical="center"/>
    </xf>
    <xf numFmtId="3" fontId="43" fillId="0" borderId="2" xfId="0" applyNumberFormat="1" applyFont="1" applyBorder="1" applyAlignment="1">
      <alignment horizontal="center" vertical="center" wrapText="1"/>
    </xf>
    <xf numFmtId="171" fontId="53" fillId="0" borderId="2" xfId="0" applyNumberFormat="1" applyFont="1" applyBorder="1" applyAlignment="1">
      <alignment horizontal="center" vertical="center" wrapText="1"/>
    </xf>
    <xf numFmtId="3" fontId="30" fillId="0" borderId="2" xfId="0" applyNumberFormat="1" applyFont="1" applyBorder="1" applyAlignment="1">
      <alignment vertical="center" wrapText="1"/>
    </xf>
    <xf numFmtId="3" fontId="30" fillId="0" borderId="2" xfId="0" applyNumberFormat="1" applyFont="1" applyBorder="1" applyAlignment="1">
      <alignment horizontal="center" vertical="center"/>
    </xf>
    <xf numFmtId="0" fontId="24" fillId="0" borderId="2" xfId="55" applyFont="1" applyBorder="1" applyAlignment="1">
      <alignment horizontal="center" vertical="center" wrapText="1"/>
    </xf>
    <xf numFmtId="0" fontId="24" fillId="0" borderId="2" xfId="55" applyFont="1" applyBorder="1" applyAlignment="1">
      <alignment horizontal="left" vertical="center" wrapText="1"/>
    </xf>
    <xf numFmtId="3" fontId="24" fillId="0" borderId="2" xfId="55" applyNumberFormat="1" applyFont="1" applyBorder="1" applyAlignment="1">
      <alignment horizontal="left" vertical="center" wrapText="1"/>
    </xf>
    <xf numFmtId="4" fontId="24" fillId="0" borderId="2" xfId="0" applyNumberFormat="1" applyFont="1" applyBorder="1" applyAlignment="1">
      <alignment horizontal="center" vertical="center"/>
    </xf>
    <xf numFmtId="3" fontId="24" fillId="0" borderId="2" xfId="0" applyNumberFormat="1" applyFont="1" applyBorder="1" applyAlignment="1">
      <alignment horizontal="center" vertical="center"/>
    </xf>
    <xf numFmtId="3" fontId="24" fillId="0" borderId="2" xfId="0" applyNumberFormat="1" applyFont="1" applyBorder="1" applyAlignment="1">
      <alignment horizontal="right" vertical="center"/>
    </xf>
    <xf numFmtId="3" fontId="24" fillId="0" borderId="2" xfId="0" applyNumberFormat="1" applyFont="1" applyBorder="1" applyAlignment="1">
      <alignment vertical="center"/>
    </xf>
    <xf numFmtId="3" fontId="24" fillId="0" borderId="2" xfId="0" applyNumberFormat="1" applyFont="1" applyBorder="1" applyAlignment="1">
      <alignment vertical="center" wrapText="1"/>
    </xf>
    <xf numFmtId="0" fontId="24" fillId="0" borderId="2" xfId="0" applyFont="1" applyBorder="1" applyAlignment="1">
      <alignment horizontal="left" vertical="center"/>
    </xf>
    <xf numFmtId="3" fontId="30" fillId="0" borderId="2" xfId="0" applyNumberFormat="1" applyFont="1" applyBorder="1" applyAlignment="1">
      <alignment vertical="center"/>
    </xf>
    <xf numFmtId="3" fontId="25" fillId="0" borderId="2" xfId="0" applyNumberFormat="1" applyFont="1" applyBorder="1" applyAlignment="1">
      <alignment vertical="center" wrapText="1"/>
    </xf>
    <xf numFmtId="3" fontId="31" fillId="0" borderId="2" xfId="0" applyNumberFormat="1" applyFont="1" applyBorder="1" applyAlignment="1">
      <alignment vertical="center"/>
    </xf>
    <xf numFmtId="0" fontId="24" fillId="2" borderId="2" xfId="0" applyFont="1" applyFill="1" applyBorder="1" applyAlignment="1">
      <alignment horizontal="left" vertical="center" wrapText="1"/>
    </xf>
    <xf numFmtId="3" fontId="24" fillId="0" borderId="2" xfId="0" applyNumberFormat="1" applyFont="1" applyBorder="1" applyAlignment="1">
      <alignment horizontal="left" vertical="center"/>
    </xf>
    <xf numFmtId="3" fontId="31" fillId="0" borderId="2" xfId="0" applyNumberFormat="1" applyFont="1" applyBorder="1" applyAlignment="1">
      <alignment horizontal="center" vertical="center"/>
    </xf>
    <xf numFmtId="4" fontId="30" fillId="0" borderId="2" xfId="0" applyNumberFormat="1" applyFont="1" applyBorder="1" applyAlignment="1">
      <alignment horizontal="center" vertical="center"/>
    </xf>
    <xf numFmtId="0" fontId="24" fillId="2" borderId="2" xfId="0" applyFont="1" applyFill="1" applyBorder="1" applyAlignment="1">
      <alignment horizontal="left" vertical="center"/>
    </xf>
    <xf numFmtId="4" fontId="31" fillId="0" borderId="2" xfId="0" applyNumberFormat="1" applyFont="1" applyBorder="1" applyAlignment="1">
      <alignment horizontal="center" vertical="center"/>
    </xf>
    <xf numFmtId="0" fontId="24" fillId="2" borderId="2" xfId="56" applyFont="1" applyFill="1" applyBorder="1" applyAlignment="1">
      <alignment horizontal="left" vertical="center"/>
    </xf>
    <xf numFmtId="0" fontId="24" fillId="2" borderId="2" xfId="2" applyFont="1" applyFill="1" applyBorder="1" applyAlignment="1">
      <alignment vertical="center" wrapText="1"/>
    </xf>
    <xf numFmtId="3" fontId="25" fillId="0" borderId="2" xfId="0" applyNumberFormat="1" applyFont="1" applyBorder="1" applyAlignment="1">
      <alignment horizontal="center" vertical="center"/>
    </xf>
    <xf numFmtId="0" fontId="36" fillId="0" borderId="0" xfId="0" applyFont="1" applyAlignment="1">
      <alignment horizontal="center"/>
    </xf>
    <xf numFmtId="167" fontId="0" fillId="0" borderId="0" xfId="0" applyNumberFormat="1"/>
    <xf numFmtId="0" fontId="25" fillId="0" borderId="0" xfId="0" applyFont="1" applyAlignment="1">
      <alignment vertical="center"/>
    </xf>
    <xf numFmtId="168" fontId="28" fillId="0" borderId="9" xfId="21" applyNumberFormat="1" applyFont="1" applyFill="1" applyBorder="1" applyAlignment="1">
      <alignment horizontal="left" vertical="center" wrapText="1"/>
    </xf>
    <xf numFmtId="2" fontId="36" fillId="0" borderId="2" xfId="0" applyNumberFormat="1" applyFont="1" applyBorder="1" applyAlignment="1">
      <alignment horizontal="left" vertical="center" wrapText="1"/>
    </xf>
    <xf numFmtId="41" fontId="24" fillId="0" borderId="2" xfId="38" applyFont="1" applyFill="1" applyBorder="1" applyAlignment="1">
      <alignment horizontal="right" vertical="center"/>
    </xf>
    <xf numFmtId="0" fontId="0" fillId="0" borderId="2" xfId="2" applyFont="1" applyBorder="1" applyAlignment="1">
      <alignment horizontal="left" vertical="center" wrapText="1"/>
    </xf>
    <xf numFmtId="0" fontId="36" fillId="0" borderId="2" xfId="0" applyFont="1" applyBorder="1" applyAlignment="1">
      <alignment horizontal="left" vertical="center" wrapText="1"/>
    </xf>
    <xf numFmtId="0" fontId="0" fillId="0" borderId="2" xfId="29" applyFont="1" applyBorder="1" applyAlignment="1">
      <alignment horizontal="justify" vertical="center" wrapText="1"/>
    </xf>
    <xf numFmtId="3" fontId="0" fillId="0" borderId="2" xfId="54" applyNumberFormat="1" applyFont="1" applyBorder="1" applyAlignment="1">
      <alignment vertical="center" wrapText="1"/>
    </xf>
    <xf numFmtId="3" fontId="36" fillId="0" borderId="2" xfId="28" applyNumberFormat="1" applyFont="1" applyBorder="1" applyAlignment="1">
      <alignment horizontal="left" vertical="center" wrapText="1"/>
    </xf>
    <xf numFmtId="167" fontId="18" fillId="2" borderId="0" xfId="42" applyNumberFormat="1" applyFont="1" applyFill="1" applyAlignment="1">
      <alignment horizontal="left" vertical="center" wrapText="1"/>
    </xf>
    <xf numFmtId="3" fontId="18" fillId="2" borderId="11" xfId="2" applyNumberFormat="1" applyFont="1" applyFill="1" applyBorder="1" applyAlignment="1">
      <alignment horizontal="right" vertical="center" wrapText="1"/>
    </xf>
    <xf numFmtId="177" fontId="0" fillId="0" borderId="0" xfId="1" applyNumberFormat="1" applyFont="1" applyFill="1"/>
    <xf numFmtId="0" fontId="25" fillId="0" borderId="0" xfId="0" applyFont="1"/>
    <xf numFmtId="0" fontId="44" fillId="0" borderId="0" xfId="0" applyFont="1" applyAlignment="1">
      <alignment horizontal="right" wrapText="1"/>
    </xf>
    <xf numFmtId="0" fontId="24" fillId="0" borderId="0" xfId="27" applyFont="1" applyAlignment="1">
      <alignment vertical="center" wrapText="1"/>
    </xf>
    <xf numFmtId="0" fontId="25" fillId="0" borderId="0" xfId="27" applyFont="1" applyAlignment="1">
      <alignment vertical="center" wrapText="1"/>
    </xf>
    <xf numFmtId="0" fontId="25" fillId="0" borderId="2" xfId="0" applyFont="1" applyBorder="1" applyAlignment="1">
      <alignment horizontal="center" vertical="center"/>
    </xf>
    <xf numFmtId="0" fontId="10" fillId="0" borderId="2" xfId="0" applyFont="1" applyBorder="1" applyAlignment="1">
      <alignment horizontal="center" vertical="center" wrapText="1"/>
    </xf>
    <xf numFmtId="0" fontId="10" fillId="0" borderId="2" xfId="0" applyFont="1" applyBorder="1" applyAlignment="1">
      <alignment horizontal="left" vertical="center" wrapText="1"/>
    </xf>
    <xf numFmtId="168" fontId="24" fillId="0" borderId="0" xfId="0" applyNumberFormat="1" applyFont="1"/>
    <xf numFmtId="168" fontId="32" fillId="0" borderId="2" xfId="14" applyNumberFormat="1" applyFont="1" applyBorder="1" applyAlignment="1">
      <alignment horizontal="left" vertical="center"/>
    </xf>
    <xf numFmtId="0" fontId="24" fillId="0" borderId="2" xfId="0" applyFont="1" applyBorder="1" applyAlignment="1">
      <alignment horizontal="center" vertical="center"/>
    </xf>
    <xf numFmtId="49" fontId="24" fillId="0" borderId="2" xfId="0" applyNumberFormat="1" applyFont="1" applyBorder="1" applyAlignment="1">
      <alignment horizontal="left" vertical="center" wrapText="1"/>
    </xf>
    <xf numFmtId="0" fontId="11" fillId="0" borderId="2" xfId="0" quotePrefix="1" applyFont="1" applyBorder="1" applyAlignment="1">
      <alignment horizontal="center" vertical="center" wrapText="1"/>
    </xf>
    <xf numFmtId="0" fontId="11" fillId="0" borderId="2" xfId="0" applyFont="1" applyBorder="1" applyAlignment="1">
      <alignment horizontal="left" vertical="center" wrapText="1"/>
    </xf>
    <xf numFmtId="168" fontId="28" fillId="0" borderId="2" xfId="14" applyNumberFormat="1" applyFont="1" applyBorder="1" applyAlignment="1">
      <alignment horizontal="left" vertical="center"/>
    </xf>
    <xf numFmtId="0" fontId="11" fillId="0" borderId="2" xfId="0" applyFont="1" applyBorder="1" applyAlignment="1">
      <alignment horizontal="center" vertical="center" wrapText="1"/>
    </xf>
    <xf numFmtId="175" fontId="24" fillId="0" borderId="0" xfId="0" applyNumberFormat="1" applyFont="1"/>
    <xf numFmtId="3" fontId="24" fillId="0" borderId="2" xfId="28" applyNumberFormat="1" applyFont="1" applyBorder="1" applyAlignment="1">
      <alignment horizontal="left" vertical="center" wrapText="1"/>
    </xf>
    <xf numFmtId="0" fontId="10" fillId="0" borderId="2" xfId="14" applyFont="1" applyBorder="1" applyAlignment="1">
      <alignment horizontal="left" vertical="center" wrapText="1"/>
    </xf>
    <xf numFmtId="167" fontId="0" fillId="0" borderId="2" xfId="1" applyNumberFormat="1" applyFont="1" applyFill="1" applyBorder="1" applyAlignment="1">
      <alignment horizontal="right" vertical="center"/>
    </xf>
    <xf numFmtId="167" fontId="36" fillId="0" borderId="2" xfId="1" applyNumberFormat="1" applyFont="1" applyFill="1" applyBorder="1" applyAlignment="1">
      <alignment vertical="center" wrapText="1"/>
    </xf>
    <xf numFmtId="167" fontId="36" fillId="0" borderId="2" xfId="1" applyNumberFormat="1" applyFont="1" applyFill="1" applyBorder="1" applyAlignment="1">
      <alignment horizontal="right" vertical="center"/>
    </xf>
    <xf numFmtId="167" fontId="0" fillId="0" borderId="0" xfId="1" applyNumberFormat="1" applyFont="1" applyFill="1"/>
    <xf numFmtId="0" fontId="36" fillId="0" borderId="2" xfId="0" applyFont="1" applyBorder="1" applyAlignment="1">
      <alignment horizontal="center" vertical="center" wrapText="1"/>
    </xf>
    <xf numFmtId="0" fontId="0" fillId="0" borderId="2" xfId="0" applyBorder="1" applyAlignment="1">
      <alignment horizontal="left" vertical="center" wrapText="1"/>
    </xf>
    <xf numFmtId="49" fontId="0" fillId="0" borderId="2" xfId="0" applyNumberFormat="1" applyBorder="1" applyAlignment="1">
      <alignment horizontal="left" vertical="center" wrapText="1"/>
    </xf>
    <xf numFmtId="168" fontId="0" fillId="0" borderId="2" xfId="1" applyNumberFormat="1" applyFont="1" applyFill="1" applyBorder="1" applyAlignment="1">
      <alignment horizontal="center" vertical="center" wrapText="1"/>
    </xf>
    <xf numFmtId="0" fontId="36" fillId="0" borderId="2" xfId="14" applyFont="1" applyBorder="1" applyAlignment="1">
      <alignment horizontal="left" vertical="center" wrapText="1"/>
    </xf>
    <xf numFmtId="165" fontId="0" fillId="0" borderId="2" xfId="0" quotePrefix="1" applyNumberFormat="1" applyBorder="1" applyAlignment="1">
      <alignment horizontal="justify" vertical="center" wrapText="1"/>
    </xf>
    <xf numFmtId="165" fontId="0" fillId="0" borderId="2" xfId="0" applyNumberFormat="1" applyBorder="1" applyAlignment="1">
      <alignment horizontal="justify" vertical="center" wrapText="1"/>
    </xf>
    <xf numFmtId="0" fontId="36" fillId="0" borderId="0" xfId="0" applyFont="1" applyAlignment="1">
      <alignment horizontal="left" vertical="center" wrapText="1"/>
    </xf>
    <xf numFmtId="0" fontId="0" fillId="0" borderId="0" xfId="0" applyAlignment="1">
      <alignment horizontal="left" vertical="center" wrapText="1"/>
    </xf>
    <xf numFmtId="2" fontId="0" fillId="0" borderId="2" xfId="0" applyNumberFormat="1" applyBorder="1" applyAlignment="1">
      <alignment horizontal="left" vertical="center" wrapText="1"/>
    </xf>
    <xf numFmtId="168" fontId="0" fillId="0" borderId="2" xfId="21" applyNumberFormat="1" applyFont="1" applyFill="1" applyBorder="1" applyAlignment="1">
      <alignment horizontal="justify" vertical="center" wrapText="1"/>
    </xf>
    <xf numFmtId="168" fontId="36" fillId="0" borderId="8" xfId="21" applyNumberFormat="1" applyFont="1" applyFill="1" applyBorder="1" applyAlignment="1">
      <alignment vertical="center" wrapText="1"/>
    </xf>
    <xf numFmtId="168" fontId="36" fillId="0" borderId="2" xfId="0" applyNumberFormat="1" applyFont="1" applyBorder="1"/>
    <xf numFmtId="0" fontId="36" fillId="0" borderId="2" xfId="0" applyFont="1" applyBorder="1" applyAlignment="1">
      <alignment horizontal="center"/>
    </xf>
    <xf numFmtId="41" fontId="24" fillId="3" borderId="2" xfId="38" applyFont="1" applyFill="1" applyBorder="1" applyAlignment="1">
      <alignment horizontal="right" vertical="center"/>
    </xf>
    <xf numFmtId="41" fontId="36" fillId="0" borderId="2" xfId="0" applyNumberFormat="1" applyFont="1" applyBorder="1"/>
    <xf numFmtId="164" fontId="0" fillId="0" borderId="0" xfId="1" applyFont="1"/>
    <xf numFmtId="167" fontId="24" fillId="0" borderId="0" xfId="1" applyNumberFormat="1" applyFont="1" applyFill="1" applyAlignment="1">
      <alignment horizontal="right"/>
    </xf>
    <xf numFmtId="167" fontId="25" fillId="0" borderId="2" xfId="1" applyNumberFormat="1" applyFont="1" applyFill="1" applyBorder="1" applyAlignment="1">
      <alignment horizontal="center" vertical="center" wrapText="1"/>
    </xf>
    <xf numFmtId="167" fontId="25" fillId="0" borderId="2" xfId="1" applyNumberFormat="1" applyFont="1" applyFill="1" applyBorder="1" applyAlignment="1">
      <alignment horizontal="right" vertical="center"/>
    </xf>
    <xf numFmtId="167" fontId="24" fillId="0" borderId="2" xfId="1" applyNumberFormat="1" applyFont="1" applyFill="1" applyBorder="1" applyAlignment="1">
      <alignment horizontal="right" vertical="center" wrapText="1"/>
    </xf>
    <xf numFmtId="167" fontId="24" fillId="0" borderId="2" xfId="1" quotePrefix="1" applyNumberFormat="1" applyFont="1" applyFill="1" applyBorder="1" applyAlignment="1">
      <alignment horizontal="center" vertical="center" wrapText="1"/>
    </xf>
    <xf numFmtId="167" fontId="25" fillId="0" borderId="2" xfId="1" applyNumberFormat="1" applyFont="1" applyFill="1" applyBorder="1" applyAlignment="1">
      <alignment horizontal="right" vertical="center" wrapText="1"/>
    </xf>
    <xf numFmtId="167" fontId="0" fillId="0" borderId="0" xfId="1" applyNumberFormat="1" applyFont="1" applyAlignment="1">
      <alignment horizontal="right"/>
    </xf>
    <xf numFmtId="41" fontId="24" fillId="3" borderId="0" xfId="38" applyFont="1" applyFill="1" applyBorder="1" applyAlignment="1">
      <alignment horizontal="right" vertical="center"/>
    </xf>
    <xf numFmtId="49" fontId="36" fillId="0" borderId="2" xfId="0" applyNumberFormat="1" applyFont="1" applyBorder="1" applyAlignment="1">
      <alignment horizontal="left" vertical="center" wrapText="1"/>
    </xf>
    <xf numFmtId="41" fontId="25" fillId="3" borderId="0" xfId="38" applyFont="1" applyFill="1" applyBorder="1" applyAlignment="1">
      <alignment horizontal="right" vertical="center"/>
    </xf>
    <xf numFmtId="168" fontId="40" fillId="0" borderId="2" xfId="1" applyNumberFormat="1" applyFont="1" applyFill="1" applyBorder="1" applyAlignment="1">
      <alignment vertical="center" wrapText="1"/>
    </xf>
    <xf numFmtId="167" fontId="24" fillId="0" borderId="0" xfId="0" applyNumberFormat="1" applyFont="1"/>
    <xf numFmtId="167" fontId="0" fillId="0" borderId="2" xfId="1" applyNumberFormat="1" applyFont="1" applyBorder="1" applyAlignment="1">
      <alignment horizontal="right"/>
    </xf>
    <xf numFmtId="0" fontId="32" fillId="0" borderId="2" xfId="0" applyFont="1" applyBorder="1" applyAlignment="1">
      <alignment horizontal="left"/>
    </xf>
    <xf numFmtId="0" fontId="0" fillId="0" borderId="2" xfId="0" applyBorder="1" applyAlignment="1">
      <alignment horizontal="center"/>
    </xf>
    <xf numFmtId="0" fontId="0" fillId="0" borderId="0" xfId="0" applyAlignment="1">
      <alignment horizontal="center"/>
    </xf>
    <xf numFmtId="41" fontId="40" fillId="0" borderId="2" xfId="38" applyFont="1" applyFill="1" applyBorder="1" applyAlignment="1">
      <alignment vertical="center" wrapText="1"/>
    </xf>
    <xf numFmtId="0" fontId="46" fillId="0" borderId="0" xfId="0" applyFont="1"/>
    <xf numFmtId="0" fontId="30" fillId="0" borderId="0" xfId="0" applyFont="1" applyAlignment="1">
      <alignment vertical="center"/>
    </xf>
    <xf numFmtId="3" fontId="30" fillId="0" borderId="0" xfId="0" applyNumberFormat="1" applyFont="1" applyAlignment="1">
      <alignment vertical="center"/>
    </xf>
    <xf numFmtId="3" fontId="32" fillId="0" borderId="0" xfId="0" applyNumberFormat="1" applyFont="1" applyAlignment="1">
      <alignment horizontal="center" vertical="center"/>
    </xf>
    <xf numFmtId="168" fontId="32" fillId="0" borderId="0" xfId="0" applyNumberFormat="1" applyFont="1" applyAlignment="1">
      <alignment horizontal="center" vertical="center"/>
    </xf>
    <xf numFmtId="3" fontId="44" fillId="0" borderId="0" xfId="0" applyNumberFormat="1" applyFont="1" applyAlignment="1">
      <alignment horizontal="center" vertical="center"/>
    </xf>
    <xf numFmtId="0" fontId="32" fillId="0" borderId="0" xfId="43" applyFont="1" applyAlignment="1">
      <alignment horizontal="center" vertical="center"/>
    </xf>
    <xf numFmtId="0" fontId="24" fillId="3" borderId="0" xfId="0" applyFont="1" applyFill="1"/>
    <xf numFmtId="37" fontId="24" fillId="0" borderId="2" xfId="1" quotePrefix="1" applyNumberFormat="1" applyFont="1" applyFill="1" applyBorder="1" applyAlignment="1">
      <alignment horizontal="right" vertical="center" wrapText="1"/>
    </xf>
    <xf numFmtId="49" fontId="25" fillId="0" borderId="2" xfId="0" applyNumberFormat="1" applyFont="1" applyBorder="1" applyAlignment="1">
      <alignment horizontal="left" vertical="center" wrapText="1"/>
    </xf>
    <xf numFmtId="168" fontId="41" fillId="0" borderId="9" xfId="21" applyNumberFormat="1" applyFont="1" applyFill="1" applyBorder="1" applyAlignment="1">
      <alignment horizontal="left" vertical="center" wrapText="1"/>
    </xf>
    <xf numFmtId="0" fontId="24" fillId="0" borderId="2" xfId="0" applyFont="1" applyBorder="1" applyAlignment="1">
      <alignment vertical="center" wrapText="1"/>
    </xf>
    <xf numFmtId="0" fontId="11" fillId="0" borderId="2" xfId="0" applyFont="1" applyBorder="1" applyAlignment="1">
      <alignment vertical="center" wrapText="1"/>
    </xf>
    <xf numFmtId="167" fontId="36" fillId="0" borderId="2" xfId="1" applyNumberFormat="1" applyFont="1" applyBorder="1" applyAlignment="1">
      <alignment horizontal="right"/>
    </xf>
    <xf numFmtId="0" fontId="36" fillId="0" borderId="0" xfId="0" applyFont="1" applyAlignment="1">
      <alignment wrapText="1"/>
    </xf>
    <xf numFmtId="168" fontId="36" fillId="0" borderId="0" xfId="0" applyNumberFormat="1" applyFont="1" applyAlignment="1">
      <alignment wrapText="1"/>
    </xf>
    <xf numFmtId="0" fontId="37" fillId="0" borderId="0" xfId="0" applyFont="1" applyAlignment="1">
      <alignment horizontal="center" vertical="center" wrapText="1"/>
    </xf>
    <xf numFmtId="0" fontId="0" fillId="0" borderId="0" xfId="27" applyFont="1" applyAlignment="1">
      <alignment horizontal="center" vertical="center" wrapText="1"/>
    </xf>
    <xf numFmtId="0" fontId="36" fillId="0" borderId="0" xfId="27" applyFont="1" applyAlignment="1">
      <alignment vertical="center" wrapText="1"/>
    </xf>
    <xf numFmtId="0" fontId="0" fillId="0" borderId="0" xfId="27" applyFont="1" applyAlignment="1">
      <alignment vertical="center" wrapText="1"/>
    </xf>
    <xf numFmtId="0" fontId="36" fillId="0" borderId="2" xfId="0" applyFont="1" applyBorder="1" applyAlignment="1">
      <alignment horizontal="center" vertical="center"/>
    </xf>
    <xf numFmtId="168" fontId="36" fillId="0" borderId="2" xfId="14" applyNumberFormat="1" applyFont="1" applyBorder="1" applyAlignment="1">
      <alignment horizontal="right" vertical="center"/>
    </xf>
    <xf numFmtId="168" fontId="0" fillId="0" borderId="2" xfId="14" applyNumberFormat="1" applyFont="1" applyBorder="1" applyAlignment="1">
      <alignment horizontal="right" vertical="center"/>
    </xf>
    <xf numFmtId="3" fontId="36" fillId="0" borderId="2" xfId="14" applyNumberFormat="1" applyFont="1" applyBorder="1" applyAlignment="1">
      <alignment horizontal="right" vertical="center"/>
    </xf>
    <xf numFmtId="168" fontId="36" fillId="0" borderId="12" xfId="14" applyNumberFormat="1" applyFont="1" applyBorder="1" applyAlignment="1">
      <alignment horizontal="right" vertical="center"/>
    </xf>
    <xf numFmtId="3" fontId="0" fillId="0" borderId="2" xfId="14" applyNumberFormat="1" applyFont="1" applyBorder="1" applyAlignment="1">
      <alignment horizontal="right" vertical="center"/>
    </xf>
    <xf numFmtId="0" fontId="0" fillId="0" borderId="2" xfId="28" applyFont="1" applyBorder="1" applyAlignment="1">
      <alignment horizontal="left" vertical="center" wrapText="1"/>
    </xf>
    <xf numFmtId="0" fontId="37" fillId="0" borderId="2" xfId="0" applyFont="1" applyBorder="1" applyAlignment="1">
      <alignment horizontal="left" vertical="center" wrapText="1"/>
    </xf>
    <xf numFmtId="0" fontId="36" fillId="0" borderId="2" xfId="0" quotePrefix="1" applyFont="1" applyBorder="1" applyAlignment="1">
      <alignment horizontal="center" vertical="center" wrapText="1"/>
    </xf>
    <xf numFmtId="0" fontId="0" fillId="0" borderId="2" xfId="14" applyFont="1" applyBorder="1" applyAlignment="1">
      <alignment horizontal="left" vertical="center" wrapText="1"/>
    </xf>
    <xf numFmtId="168" fontId="0" fillId="0" borderId="11" xfId="21" applyNumberFormat="1" applyFont="1" applyFill="1" applyBorder="1" applyAlignment="1">
      <alignment vertical="center" wrapText="1"/>
    </xf>
    <xf numFmtId="3" fontId="36" fillId="0" borderId="0" xfId="0" applyNumberFormat="1" applyFont="1"/>
    <xf numFmtId="0" fontId="40" fillId="0" borderId="2" xfId="0" applyFont="1" applyBorder="1" applyAlignment="1">
      <alignment horizontal="left" vertical="center" wrapText="1"/>
    </xf>
    <xf numFmtId="168" fontId="37" fillId="0" borderId="2" xfId="14" applyNumberFormat="1" applyFont="1" applyBorder="1" applyAlignment="1">
      <alignment horizontal="right" vertical="center"/>
    </xf>
    <xf numFmtId="168" fontId="40" fillId="0" borderId="2" xfId="14" applyNumberFormat="1" applyFont="1" applyBorder="1" applyAlignment="1">
      <alignment horizontal="right" vertical="center"/>
    </xf>
    <xf numFmtId="3" fontId="0" fillId="0" borderId="2" xfId="28" applyNumberFormat="1" applyFont="1" applyBorder="1" applyAlignment="1">
      <alignment horizontal="left" vertical="center" wrapText="1"/>
    </xf>
    <xf numFmtId="0" fontId="36" fillId="0" borderId="0" xfId="0" applyFont="1" applyAlignment="1">
      <alignment horizontal="center" vertical="center" wrapText="1"/>
    </xf>
    <xf numFmtId="164" fontId="0" fillId="0" borderId="0" xfId="1" applyFont="1" applyFill="1" applyAlignment="1">
      <alignment horizontal="center" vertical="center" wrapText="1"/>
    </xf>
    <xf numFmtId="0" fontId="37" fillId="0" borderId="0" xfId="0" applyFont="1"/>
    <xf numFmtId="0" fontId="37" fillId="0" borderId="0" xfId="0" applyFont="1" applyAlignment="1">
      <alignment horizontal="left" vertical="center" wrapText="1"/>
    </xf>
    <xf numFmtId="0" fontId="37" fillId="0" borderId="2" xfId="0" applyFont="1" applyBorder="1" applyAlignment="1">
      <alignment horizontal="center" vertical="center"/>
    </xf>
    <xf numFmtId="49" fontId="37" fillId="0" borderId="2" xfId="0" applyNumberFormat="1" applyFont="1" applyBorder="1" applyAlignment="1">
      <alignment horizontal="left" vertical="center" wrapText="1"/>
    </xf>
    <xf numFmtId="3" fontId="37" fillId="0" borderId="2" xfId="14" applyNumberFormat="1" applyFont="1" applyBorder="1" applyAlignment="1">
      <alignment horizontal="right" vertical="center"/>
    </xf>
    <xf numFmtId="164" fontId="0" fillId="0" borderId="0" xfId="1" applyFont="1" applyFill="1" applyAlignment="1">
      <alignment horizontal="left" vertical="center" wrapText="1"/>
    </xf>
    <xf numFmtId="1" fontId="36" fillId="0" borderId="2" xfId="0" applyNumberFormat="1" applyFont="1" applyBorder="1"/>
    <xf numFmtId="169" fontId="36" fillId="0" borderId="0" xfId="0" applyNumberFormat="1" applyFont="1"/>
    <xf numFmtId="168" fontId="0" fillId="0" borderId="11" xfId="14" applyNumberFormat="1" applyFont="1" applyBorder="1" applyAlignment="1">
      <alignment horizontal="right" vertical="center"/>
    </xf>
    <xf numFmtId="0" fontId="40" fillId="0" borderId="2" xfId="0" applyFont="1" applyBorder="1" applyAlignment="1">
      <alignment horizontal="center"/>
    </xf>
    <xf numFmtId="0" fontId="0" fillId="0" borderId="2" xfId="0" applyBorder="1" applyAlignment="1">
      <alignment horizontal="center" vertical="center" wrapText="1"/>
    </xf>
    <xf numFmtId="0" fontId="0" fillId="0" borderId="2" xfId="0" quotePrefix="1" applyBorder="1" applyAlignment="1">
      <alignment horizontal="center" vertical="center" wrapText="1"/>
    </xf>
    <xf numFmtId="0" fontId="0" fillId="0" borderId="2" xfId="0" applyBorder="1" applyAlignment="1">
      <alignment horizontal="center" vertical="center"/>
    </xf>
    <xf numFmtId="176" fontId="0" fillId="0" borderId="0" xfId="0" applyNumberFormat="1"/>
    <xf numFmtId="169" fontId="0" fillId="0" borderId="0" xfId="0" applyNumberFormat="1"/>
    <xf numFmtId="0" fontId="0" fillId="0" borderId="2" xfId="0" applyBorder="1" applyAlignment="1">
      <alignment vertical="center" wrapText="1"/>
    </xf>
    <xf numFmtId="0" fontId="0" fillId="0" borderId="0" xfId="0" applyAlignment="1">
      <alignment horizontal="center" vertical="center" wrapText="1"/>
    </xf>
    <xf numFmtId="3" fontId="0" fillId="0" borderId="2" xfId="0" applyNumberFormat="1" applyBorder="1"/>
    <xf numFmtId="165" fontId="0" fillId="0" borderId="2" xfId="0" applyNumberFormat="1" applyBorder="1" applyAlignment="1">
      <alignment horizontal="right" vertical="center"/>
    </xf>
    <xf numFmtId="168" fontId="0" fillId="0" borderId="0" xfId="0" applyNumberFormat="1" applyAlignment="1">
      <alignment horizontal="center" vertical="center" wrapText="1"/>
    </xf>
    <xf numFmtId="0" fontId="30" fillId="0" borderId="2" xfId="0" applyFont="1" applyBorder="1" applyAlignment="1">
      <alignment horizontal="center" vertical="center" wrapText="1"/>
    </xf>
    <xf numFmtId="3" fontId="44" fillId="0" borderId="2" xfId="0" applyNumberFormat="1" applyFont="1" applyBorder="1" applyAlignment="1">
      <alignment horizontal="center" vertical="center" wrapText="1"/>
    </xf>
    <xf numFmtId="3" fontId="30" fillId="0" borderId="2" xfId="0" applyNumberFormat="1" applyFont="1" applyBorder="1" applyAlignment="1">
      <alignment horizontal="right" vertical="center" wrapText="1"/>
    </xf>
    <xf numFmtId="0" fontId="30" fillId="0" borderId="2" xfId="0" applyFont="1" applyBorder="1" applyAlignment="1">
      <alignment horizontal="left" vertical="center" wrapText="1"/>
    </xf>
    <xf numFmtId="0" fontId="30" fillId="0" borderId="2" xfId="0" applyFont="1" applyBorder="1" applyAlignment="1">
      <alignment horizontal="right" vertical="center" wrapText="1"/>
    </xf>
    <xf numFmtId="0" fontId="31" fillId="0" borderId="2" xfId="0" applyFont="1" applyBorder="1" applyAlignment="1">
      <alignment horizontal="center" vertical="center" wrapText="1"/>
    </xf>
    <xf numFmtId="168" fontId="31" fillId="0" borderId="2" xfId="0" applyNumberFormat="1" applyFont="1" applyBorder="1" applyAlignment="1">
      <alignment horizontal="center" vertical="center" wrapText="1"/>
    </xf>
    <xf numFmtId="0" fontId="31" fillId="0" borderId="2" xfId="0" applyFont="1" applyBorder="1" applyAlignment="1">
      <alignment horizontal="right" vertical="center" wrapText="1"/>
    </xf>
    <xf numFmtId="168" fontId="31" fillId="0" borderId="2" xfId="0" applyNumberFormat="1" applyFont="1" applyBorder="1" applyAlignment="1">
      <alignment horizontal="right" vertical="center" wrapText="1"/>
    </xf>
    <xf numFmtId="0" fontId="31" fillId="0" borderId="2" xfId="0" applyFont="1" applyBorder="1"/>
    <xf numFmtId="168" fontId="30" fillId="0" borderId="2" xfId="0" applyNumberFormat="1" applyFont="1" applyBorder="1" applyAlignment="1">
      <alignment horizontal="center" vertical="center" wrapText="1"/>
    </xf>
    <xf numFmtId="168" fontId="30" fillId="0" borderId="2" xfId="0" applyNumberFormat="1" applyFont="1" applyBorder="1" applyAlignment="1">
      <alignment horizontal="right" vertical="center" wrapText="1"/>
    </xf>
    <xf numFmtId="0" fontId="30" fillId="0" borderId="2" xfId="0" applyFont="1" applyBorder="1"/>
    <xf numFmtId="0" fontId="31" fillId="0" borderId="2" xfId="0" applyFont="1" applyBorder="1" applyAlignment="1">
      <alignment vertical="center" wrapText="1"/>
    </xf>
    <xf numFmtId="3" fontId="31" fillId="0" borderId="2" xfId="0" applyNumberFormat="1" applyFont="1" applyBorder="1" applyAlignment="1">
      <alignment horizontal="right" vertical="center" wrapText="1"/>
    </xf>
    <xf numFmtId="0" fontId="31" fillId="0" borderId="2" xfId="0" applyFont="1" applyBorder="1" applyAlignment="1">
      <alignment horizontal="left" vertical="center" wrapText="1"/>
    </xf>
    <xf numFmtId="0" fontId="31" fillId="0" borderId="2" xfId="0" quotePrefix="1" applyFont="1" applyBorder="1" applyAlignment="1">
      <alignment horizontal="center" vertical="center" wrapText="1"/>
    </xf>
    <xf numFmtId="0" fontId="30" fillId="0" borderId="2" xfId="0" quotePrefix="1" applyFont="1" applyBorder="1" applyAlignment="1">
      <alignment horizontal="center" vertical="center" wrapText="1"/>
    </xf>
    <xf numFmtId="168" fontId="31" fillId="0" borderId="2" xfId="0" applyNumberFormat="1" applyFont="1" applyBorder="1"/>
    <xf numFmtId="0" fontId="30" fillId="0" borderId="2" xfId="0" applyFont="1" applyBorder="1" applyAlignment="1">
      <alignment horizontal="left" vertical="top" wrapText="1"/>
    </xf>
    <xf numFmtId="0" fontId="31" fillId="0" borderId="2" xfId="0" applyFont="1" applyBorder="1" applyAlignment="1">
      <alignment horizontal="left" vertical="top" wrapText="1"/>
    </xf>
    <xf numFmtId="2" fontId="30" fillId="0" borderId="2" xfId="0" applyNumberFormat="1" applyFont="1" applyBorder="1" applyAlignment="1">
      <alignment horizontal="center" vertical="center" wrapText="1"/>
    </xf>
    <xf numFmtId="3" fontId="31" fillId="0" borderId="2" xfId="0" applyNumberFormat="1" applyFont="1" applyBorder="1" applyAlignment="1">
      <alignment horizontal="center" vertical="center" wrapText="1"/>
    </xf>
    <xf numFmtId="0" fontId="31" fillId="0" borderId="2" xfId="0" applyFont="1" applyBorder="1" applyAlignment="1">
      <alignment horizontal="center"/>
    </xf>
    <xf numFmtId="171" fontId="30" fillId="0" borderId="2" xfId="0" applyNumberFormat="1" applyFont="1" applyBorder="1"/>
    <xf numFmtId="0" fontId="30" fillId="0" borderId="2" xfId="0" applyFont="1" applyBorder="1" applyAlignment="1">
      <alignment horizontal="center"/>
    </xf>
    <xf numFmtId="0" fontId="31" fillId="0" borderId="2" xfId="0" quotePrefix="1" applyFont="1" applyBorder="1" applyAlignment="1">
      <alignment horizontal="center"/>
    </xf>
    <xf numFmtId="0" fontId="25" fillId="0" borderId="2" xfId="0" applyFont="1" applyBorder="1"/>
    <xf numFmtId="3" fontId="25" fillId="0" borderId="2" xfId="0" applyNumberFormat="1" applyFont="1" applyBorder="1"/>
    <xf numFmtId="0" fontId="30" fillId="0" borderId="2" xfId="0" quotePrefix="1" applyFont="1" applyBorder="1" applyAlignment="1">
      <alignment horizontal="center"/>
    </xf>
    <xf numFmtId="0" fontId="25" fillId="0" borderId="0" xfId="0" applyFont="1" applyAlignment="1">
      <alignment horizontal="center"/>
    </xf>
    <xf numFmtId="0" fontId="51" fillId="0" borderId="0" xfId="0" applyFont="1" applyAlignment="1">
      <alignment horizontal="center" vertical="center" wrapText="1"/>
    </xf>
    <xf numFmtId="168" fontId="24" fillId="0" borderId="1" xfId="1" applyNumberFormat="1" applyFont="1" applyFill="1" applyBorder="1" applyAlignment="1">
      <alignment horizontal="center" vertical="center" wrapText="1"/>
    </xf>
    <xf numFmtId="3" fontId="37" fillId="0" borderId="1" xfId="32" applyNumberFormat="1" applyFont="1" applyBorder="1" applyAlignment="1">
      <alignment horizontal="center" vertical="center"/>
    </xf>
    <xf numFmtId="0" fontId="36" fillId="0" borderId="0" xfId="30" applyFont="1" applyAlignment="1">
      <alignment horizontal="right" vertical="center" wrapText="1"/>
    </xf>
    <xf numFmtId="3" fontId="39" fillId="0" borderId="0" xfId="31" applyNumberFormat="1" applyFont="1" applyAlignment="1">
      <alignment horizontal="center" vertical="center"/>
    </xf>
    <xf numFmtId="0" fontId="37" fillId="2" borderId="0" xfId="0" applyFont="1" applyFill="1" applyAlignment="1">
      <alignment horizontal="center" vertical="center"/>
    </xf>
    <xf numFmtId="0" fontId="17" fillId="2" borderId="0" xfId="0" applyFont="1" applyFill="1" applyAlignment="1">
      <alignment horizontal="center" vertical="center"/>
    </xf>
    <xf numFmtId="3" fontId="25" fillId="0" borderId="2" xfId="31" applyNumberFormat="1" applyFont="1" applyBorder="1" applyAlignment="1">
      <alignment horizontal="center" vertical="center" wrapText="1"/>
    </xf>
    <xf numFmtId="3" fontId="25" fillId="0" borderId="2" xfId="15" applyNumberFormat="1" applyFont="1" applyFill="1" applyBorder="1" applyAlignment="1">
      <alignment horizontal="center" vertical="center" wrapText="1"/>
    </xf>
    <xf numFmtId="0" fontId="10" fillId="0" borderId="9"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0" xfId="0" applyFont="1" applyAlignment="1">
      <alignment horizontal="right"/>
    </xf>
    <xf numFmtId="0" fontId="12" fillId="0" borderId="0" xfId="0" applyFont="1" applyAlignment="1">
      <alignment horizontal="center"/>
    </xf>
    <xf numFmtId="0" fontId="35" fillId="0" borderId="0" xfId="0" applyFont="1" applyAlignment="1">
      <alignment horizontal="center"/>
    </xf>
    <xf numFmtId="0" fontId="36" fillId="0" borderId="0" xfId="0" applyFont="1" applyAlignment="1">
      <alignment horizontal="center" wrapText="1"/>
    </xf>
    <xf numFmtId="0" fontId="36" fillId="0" borderId="0" xfId="0" applyFont="1" applyAlignment="1">
      <alignment horizontal="center"/>
    </xf>
    <xf numFmtId="0" fontId="37" fillId="0" borderId="0" xfId="0" applyFont="1" applyAlignment="1">
      <alignment horizontal="center" vertical="center" wrapText="1"/>
    </xf>
    <xf numFmtId="168" fontId="0" fillId="0" borderId="0" xfId="1" applyNumberFormat="1" applyFont="1" applyFill="1" applyBorder="1" applyAlignment="1">
      <alignment horizontal="center" vertical="center" wrapText="1"/>
    </xf>
    <xf numFmtId="168" fontId="36" fillId="0" borderId="6" xfId="1" applyNumberFormat="1" applyFont="1" applyFill="1" applyBorder="1" applyAlignment="1">
      <alignment horizontal="center" vertical="center" wrapText="1"/>
    </xf>
    <xf numFmtId="168" fontId="36" fillId="0" borderId="7" xfId="1" applyNumberFormat="1" applyFont="1" applyFill="1" applyBorder="1" applyAlignment="1">
      <alignment horizontal="center" vertical="center" wrapText="1"/>
    </xf>
    <xf numFmtId="168" fontId="36" fillId="0" borderId="8" xfId="1" applyNumberFormat="1" applyFont="1" applyFill="1" applyBorder="1" applyAlignment="1">
      <alignment horizontal="center" vertical="center" wrapText="1"/>
    </xf>
    <xf numFmtId="168" fontId="36" fillId="0" borderId="9" xfId="1" applyNumberFormat="1" applyFont="1" applyFill="1" applyBorder="1" applyAlignment="1">
      <alignment horizontal="center" vertical="center" wrapText="1"/>
    </xf>
    <xf numFmtId="168" fontId="36" fillId="0" borderId="10" xfId="1" applyNumberFormat="1" applyFont="1" applyFill="1" applyBorder="1" applyAlignment="1">
      <alignment horizontal="center" vertical="center" wrapText="1"/>
    </xf>
    <xf numFmtId="0" fontId="36" fillId="0" borderId="9" xfId="27" applyFont="1" applyBorder="1" applyAlignment="1">
      <alignment horizontal="center" vertical="center" wrapText="1"/>
    </xf>
    <xf numFmtId="0" fontId="36" fillId="0" borderId="10" xfId="27" applyFont="1" applyBorder="1" applyAlignment="1">
      <alignment horizontal="center" vertical="center" wrapText="1"/>
    </xf>
    <xf numFmtId="0" fontId="36" fillId="0" borderId="2" xfId="0" applyFont="1" applyBorder="1" applyAlignment="1">
      <alignment horizontal="center" vertical="center"/>
    </xf>
    <xf numFmtId="0" fontId="36" fillId="0" borderId="1" xfId="0" applyFont="1" applyBorder="1" applyAlignment="1">
      <alignment horizontal="center"/>
    </xf>
    <xf numFmtId="0" fontId="30" fillId="0" borderId="0" xfId="0" applyFont="1" applyAlignment="1">
      <alignment horizontal="center" vertical="center"/>
    </xf>
    <xf numFmtId="3" fontId="32" fillId="0" borderId="0" xfId="0" applyNumberFormat="1" applyFont="1" applyAlignment="1">
      <alignment horizontal="center" vertical="center"/>
    </xf>
    <xf numFmtId="3" fontId="30" fillId="0" borderId="2" xfId="0" applyNumberFormat="1" applyFont="1" applyBorder="1" applyAlignment="1">
      <alignment horizontal="center" vertical="center" wrapText="1"/>
    </xf>
    <xf numFmtId="0" fontId="30" fillId="2" borderId="9" xfId="43" applyFont="1" applyFill="1" applyBorder="1" applyAlignment="1">
      <alignment horizontal="center" vertical="center" wrapText="1"/>
    </xf>
    <xf numFmtId="0" fontId="30" fillId="2" borderId="11" xfId="43" applyFont="1" applyFill="1" applyBorder="1" applyAlignment="1">
      <alignment horizontal="center" vertical="center" wrapText="1"/>
    </xf>
    <xf numFmtId="0" fontId="30" fillId="2" borderId="0" xfId="43" applyFont="1" applyFill="1" applyAlignment="1">
      <alignment horizontal="center" vertical="top" wrapText="1"/>
    </xf>
    <xf numFmtId="3" fontId="32" fillId="2" borderId="0" xfId="43" applyNumberFormat="1" applyFont="1" applyFill="1" applyAlignment="1">
      <alignment horizontal="center" vertical="center" wrapText="1"/>
    </xf>
    <xf numFmtId="0" fontId="30" fillId="2" borderId="2" xfId="43" applyFont="1" applyFill="1" applyBorder="1" applyAlignment="1">
      <alignment horizontal="center" vertical="center" wrapText="1"/>
    </xf>
    <xf numFmtId="0" fontId="30" fillId="2" borderId="10" xfId="43" applyFont="1" applyFill="1" applyBorder="1" applyAlignment="1">
      <alignment horizontal="center" vertical="center" wrapText="1"/>
    </xf>
    <xf numFmtId="0" fontId="45" fillId="2" borderId="0" xfId="2" applyFont="1" applyFill="1" applyAlignment="1">
      <alignment horizontal="center" vertical="center" wrapText="1"/>
    </xf>
    <xf numFmtId="49" fontId="17" fillId="2" borderId="0" xfId="2" applyNumberFormat="1" applyFont="1" applyFill="1" applyAlignment="1">
      <alignment horizontal="center" vertical="center" wrapText="1"/>
    </xf>
    <xf numFmtId="0" fontId="17" fillId="2" borderId="0" xfId="2" applyFont="1" applyFill="1" applyAlignment="1">
      <alignment horizontal="center" vertical="center" wrapText="1"/>
    </xf>
    <xf numFmtId="0" fontId="17" fillId="2" borderId="1" xfId="2" applyFont="1" applyFill="1" applyBorder="1" applyAlignment="1">
      <alignment horizontal="right" vertical="center" wrapText="1"/>
    </xf>
    <xf numFmtId="0" fontId="45" fillId="2" borderId="9" xfId="2" applyFont="1" applyFill="1" applyBorder="1" applyAlignment="1">
      <alignment horizontal="center" vertical="center" wrapText="1"/>
    </xf>
    <xf numFmtId="0" fontId="45" fillId="2" borderId="11" xfId="2" applyFont="1" applyFill="1" applyBorder="1" applyAlignment="1">
      <alignment horizontal="center" vertical="center" wrapText="1"/>
    </xf>
    <xf numFmtId="0" fontId="52" fillId="0" borderId="10" xfId="0" applyFont="1" applyBorder="1" applyAlignment="1">
      <alignment horizontal="center" vertical="center" wrapText="1"/>
    </xf>
    <xf numFmtId="3" fontId="45" fillId="2" borderId="13" xfId="2" applyNumberFormat="1" applyFont="1" applyFill="1" applyBorder="1" applyAlignment="1">
      <alignment horizontal="center" vertical="center" wrapText="1"/>
    </xf>
    <xf numFmtId="3" fontId="45" fillId="2" borderId="16" xfId="2" applyNumberFormat="1" applyFont="1" applyFill="1" applyBorder="1" applyAlignment="1">
      <alignment horizontal="center" vertical="center" wrapText="1"/>
    </xf>
    <xf numFmtId="3" fontId="45" fillId="2" borderId="14" xfId="2" applyNumberFormat="1" applyFont="1" applyFill="1" applyBorder="1" applyAlignment="1">
      <alignment horizontal="center" vertical="center" wrapText="1"/>
    </xf>
    <xf numFmtId="3" fontId="45" fillId="2" borderId="1" xfId="2" applyNumberFormat="1" applyFont="1" applyFill="1" applyBorder="1" applyAlignment="1">
      <alignment horizontal="center" vertical="center" wrapText="1"/>
    </xf>
    <xf numFmtId="3" fontId="45" fillId="2" borderId="17" xfId="2" applyNumberFormat="1" applyFont="1" applyFill="1" applyBorder="1" applyAlignment="1">
      <alignment horizontal="center" vertical="center" wrapText="1"/>
    </xf>
    <xf numFmtId="3" fontId="45" fillId="2" borderId="15" xfId="2" applyNumberFormat="1" applyFont="1" applyFill="1" applyBorder="1" applyAlignment="1">
      <alignment horizontal="center" vertical="center" wrapText="1"/>
    </xf>
    <xf numFmtId="3" fontId="36" fillId="0" borderId="0" xfId="0" applyNumberFormat="1" applyFont="1" applyAlignment="1">
      <alignment horizontal="center" vertical="center"/>
    </xf>
    <xf numFmtId="0" fontId="28" fillId="0" borderId="0" xfId="0" applyFont="1" applyAlignment="1">
      <alignment horizontal="center" vertical="center" wrapText="1"/>
    </xf>
    <xf numFmtId="3" fontId="46" fillId="0" borderId="2" xfId="0" applyNumberFormat="1" applyFont="1" applyBorder="1" applyAlignment="1">
      <alignment horizontal="center" vertical="center"/>
    </xf>
    <xf numFmtId="3" fontId="46" fillId="0" borderId="2" xfId="0" applyNumberFormat="1" applyFont="1" applyBorder="1" applyAlignment="1">
      <alignment horizontal="left" vertical="center" wrapText="1"/>
    </xf>
    <xf numFmtId="3" fontId="46" fillId="0" borderId="2" xfId="0" applyNumberFormat="1" applyFont="1" applyBorder="1" applyAlignment="1">
      <alignment horizontal="center" vertical="center" wrapText="1"/>
    </xf>
    <xf numFmtId="0" fontId="53" fillId="0" borderId="2" xfId="0" applyFont="1" applyBorder="1" applyAlignment="1">
      <alignment horizontal="center" vertical="center" wrapText="1"/>
    </xf>
    <xf numFmtId="0" fontId="25" fillId="0" borderId="0" xfId="0" applyFont="1" applyAlignment="1">
      <alignment horizontal="center" vertical="center"/>
    </xf>
    <xf numFmtId="0" fontId="12" fillId="0" borderId="2" xfId="0" applyFont="1" applyBorder="1" applyAlignment="1">
      <alignment horizontal="center" vertical="center" wrapText="1"/>
    </xf>
    <xf numFmtId="166" fontId="12" fillId="0" borderId="2" xfId="1" applyNumberFormat="1" applyFont="1" applyBorder="1" applyAlignment="1">
      <alignment horizontal="center" vertical="center" wrapText="1"/>
    </xf>
    <xf numFmtId="0" fontId="12" fillId="0" borderId="6"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8" xfId="0" applyFont="1" applyBorder="1" applyAlignment="1">
      <alignment horizontal="center" vertical="center" wrapText="1"/>
    </xf>
    <xf numFmtId="166" fontId="12" fillId="0" borderId="6" xfId="1" applyNumberFormat="1" applyFont="1" applyBorder="1" applyAlignment="1">
      <alignment horizontal="center" vertical="center" wrapText="1"/>
    </xf>
    <xf numFmtId="166" fontId="12" fillId="0" borderId="7" xfId="1" applyNumberFormat="1" applyFont="1" applyBorder="1" applyAlignment="1">
      <alignment horizontal="center" vertical="center" wrapText="1"/>
    </xf>
    <xf numFmtId="166" fontId="12" fillId="0" borderId="8" xfId="1" applyNumberFormat="1" applyFont="1" applyBorder="1" applyAlignment="1">
      <alignment horizontal="center" vertical="center" wrapText="1"/>
    </xf>
    <xf numFmtId="0" fontId="12" fillId="0" borderId="0" xfId="0" applyFont="1" applyAlignment="1">
      <alignment horizontal="center" vertical="center"/>
    </xf>
    <xf numFmtId="0" fontId="14" fillId="0" borderId="1" xfId="0" applyFont="1" applyBorder="1" applyAlignment="1">
      <alignment horizontal="center" vertical="center"/>
    </xf>
  </cellXfs>
  <cellStyles count="57">
    <cellStyle name="Bad" xfId="39" builtinId="27"/>
    <cellStyle name="Bình thường 6 6 2" xfId="53" xr:uid="{080D5FE3-0035-4A5C-B4C9-5F8E24811188}"/>
    <cellStyle name="Comma" xfId="1" builtinId="3"/>
    <cellStyle name="Comma [0]" xfId="38" builtinId="6"/>
    <cellStyle name="Comma 10" xfId="4" xr:uid="{00000000-0005-0000-0000-000001000000}"/>
    <cellStyle name="Comma 10 10" xfId="36" xr:uid="{C2121030-5019-4FDF-B600-C5A2D661E49C}"/>
    <cellStyle name="Comma 14" xfId="37" xr:uid="{7F46B100-EEA6-4BFB-8364-69B8B4ADA021}"/>
    <cellStyle name="Comma 16" xfId="11" xr:uid="{00000000-0005-0000-0000-000002000000}"/>
    <cellStyle name="Comma 2" xfId="21" xr:uid="{7732356A-0E55-41F4-A685-EBAD90708F69}"/>
    <cellStyle name="Comma 2 3" xfId="26" xr:uid="{58D2E7F0-359F-4EF9-B486-FCA0B3F91A13}"/>
    <cellStyle name="Comma 2 5 2" xfId="50" xr:uid="{D01A30F0-42C6-4FFD-BCF8-2603CA7E16E5}"/>
    <cellStyle name="Comma 2 6" xfId="45" xr:uid="{AE5188C7-F0EE-417F-BCC5-1F111CE5B18B}"/>
    <cellStyle name="Comma 21 5 2" xfId="48" xr:uid="{7D02E7BB-A9E7-45AB-836E-DFEDBCFC6277}"/>
    <cellStyle name="Comma 29" xfId="22" xr:uid="{D52EE52B-B08E-4040-B166-EE649B267A95}"/>
    <cellStyle name="Comma 3" xfId="16" xr:uid="{1DDC6AE0-9151-465E-B1AD-37D5D5A28311}"/>
    <cellStyle name="Comma 4" xfId="18" xr:uid="{43E55BF6-B5F6-4DD2-8DAB-12175AB5CA8E}"/>
    <cellStyle name="Comma_bieu sua theo yeu cau 2 2" xfId="49" xr:uid="{97B00505-A0D3-48F4-BC18-3C54FF1FD9A3}"/>
    <cellStyle name="Ledger 17 x 11 in" xfId="19" xr:uid="{EB476C41-48A6-4796-B931-288473C9424D}"/>
    <cellStyle name="Ledger 17 x 11 in 2 2" xfId="28" xr:uid="{4A55F901-41E5-4141-97EE-66768AC6FE96}"/>
    <cellStyle name="Ledger 17 x 11 in 2 2 2" xfId="29" xr:uid="{AF086A4B-9A83-475C-9E27-26546406DD36}"/>
    <cellStyle name="Ledger 17 x 11 in 2 2 2 2" xfId="2" xr:uid="{00000000-0005-0000-0000-000003000000}"/>
    <cellStyle name="Ledger 17 x 11 in 2 2 2 2 2" xfId="35" xr:uid="{EF691C40-3A67-4E85-A756-E354DE1D8AF9}"/>
    <cellStyle name="Ledger 17 x 11 in 2 4" xfId="5" xr:uid="{00000000-0005-0000-0000-000004000000}"/>
    <cellStyle name="Ledger 17 x 11 in 2 4 3" xfId="33" xr:uid="{881869A2-D1AC-4DDF-A3EE-70C337037972}"/>
    <cellStyle name="Ledger 17 x 11 in 4" xfId="23" xr:uid="{148E5902-2209-45FF-8EC4-EF61F4094CA3}"/>
    <cellStyle name="Ledger 17 x 11 in 4 2" xfId="47" xr:uid="{681AF610-3205-45B8-9294-A72084C012AA}"/>
    <cellStyle name="Ledger 17 x 11 in_BH" xfId="20" xr:uid="{5AEF4156-A217-41D9-B7EB-3A70F6265192}"/>
    <cellStyle name="Normal" xfId="0" builtinId="0"/>
    <cellStyle name="Normal 101" xfId="3" xr:uid="{00000000-0005-0000-0000-000006000000}"/>
    <cellStyle name="Normal 11 2" xfId="17" xr:uid="{E5E0CF09-25B1-41F9-AEBC-E4B3BC56770B}"/>
    <cellStyle name="Normal 12" xfId="43" xr:uid="{80F9ED87-19D7-4D10-BFA5-33C874D6533A}"/>
    <cellStyle name="Normal 14 4" xfId="54" xr:uid="{044E5399-DD84-4A8A-B8A4-95A49E00A81D}"/>
    <cellStyle name="Normal 140" xfId="24" xr:uid="{C3731B56-279A-4CD1-BFE1-FCB965C24C45}"/>
    <cellStyle name="Normal 2" xfId="25" xr:uid="{233AD6CE-FA6C-4003-8B71-5ACC3CADC62A}"/>
    <cellStyle name="Normal 2 10" xfId="52" xr:uid="{4674458F-560C-4F48-B5E7-21A40D8F14D3}"/>
    <cellStyle name="Normal 2 2" xfId="56" xr:uid="{7643A6F3-84AE-4B9E-84ED-B874F30CF03A}"/>
    <cellStyle name="Normal 2 3" xfId="32" xr:uid="{6C866EAF-E924-4162-883C-11E72AACFA7A}"/>
    <cellStyle name="Normal 2 3 2 4" xfId="44" xr:uid="{08451496-50D7-49D1-9D55-A9974726D24D}"/>
    <cellStyle name="Normal 2_160507 Bieu mau NSDP ND sua ND73" xfId="41" xr:uid="{23047494-D02E-44AF-846A-3B18C686B495}"/>
    <cellStyle name="Normal 255" xfId="31" xr:uid="{FC559056-DE6B-4E24-8EEC-9DBE7054C796}"/>
    <cellStyle name="Normal 3" xfId="14" xr:uid="{00000000-0005-0000-0000-000007000000}"/>
    <cellStyle name="Normal 3 2" xfId="55" xr:uid="{44B557F2-E5F6-49F8-9162-FA7E802916F1}"/>
    <cellStyle name="Normal 3 5" xfId="30" xr:uid="{9463FC28-0825-4E5A-AFB2-502C1A2F3249}"/>
    <cellStyle name="Normal 35 5 2" xfId="46" xr:uid="{33E55C27-8C53-4B51-A066-9F499252E40A}"/>
    <cellStyle name="Normal 37" xfId="51" xr:uid="{35FE816A-2B3A-43C2-A93F-C8CA36C4FE57}"/>
    <cellStyle name="Normal 6 4" xfId="12" xr:uid="{00000000-0005-0000-0000-000008000000}"/>
    <cellStyle name="Normal 80" xfId="13" xr:uid="{00000000-0005-0000-0000-000009000000}"/>
    <cellStyle name="Normal 84" xfId="6" xr:uid="{00000000-0005-0000-0000-00000A000000}"/>
    <cellStyle name="Normal 90" xfId="7" xr:uid="{00000000-0005-0000-0000-00000B000000}"/>
    <cellStyle name="Normal 92" xfId="10" xr:uid="{00000000-0005-0000-0000-00000C000000}"/>
    <cellStyle name="Normal_danh muc cong trinh chuan bi dau tu 293" xfId="42" xr:uid="{54A23E21-32C0-41AF-80B1-CC94CA22B172}"/>
    <cellStyle name="Normal_Mau giao thu (Bo)" xfId="34" xr:uid="{B9E23749-F2FA-4F18-A7F0-AE4F360304FD}"/>
    <cellStyle name="Normal_pl6Bieu so 02" xfId="40" xr:uid="{2D7BCA73-5A4A-421D-B3EB-53D1BA741FAF}"/>
    <cellStyle name="Normal_TH THAO LUAN 2015 (CHUAN)" xfId="27" xr:uid="{A47C385E-341E-4667-BD0D-CFA44C328049}"/>
    <cellStyle name="Style 1 2 2" xfId="15" xr:uid="{00000000-0005-0000-0000-00000E000000}"/>
    <cellStyle name="Style 1 2 3" xfId="9" xr:uid="{00000000-0005-0000-0000-00000F000000}"/>
    <cellStyle name="Style 1_02. BS 2019" xfId="8" xr:uid="{00000000-0005-0000-0000-000010000000}"/>
  </cellStyles>
  <dxfs count="15">
    <dxf>
      <font>
        <color rgb="FF9C0006"/>
      </font>
      <fill>
        <patternFill>
          <bgColor rgb="FFFFC7CE"/>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patternType="solid">
          <bgColor rgb="FFFFC7CE"/>
        </patternFill>
      </fill>
    </dxf>
  </dxfs>
  <tableStyles count="0" defaultTableStyle="TableStyleMedium2" defaultPivotStyle="PivotStyleLight16"/>
  <colors>
    <mruColors>
      <color rgb="FFC60AC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71</xdr:row>
      <xdr:rowOff>0</xdr:rowOff>
    </xdr:from>
    <xdr:to>
      <xdr:col>1</xdr:col>
      <xdr:colOff>57150</xdr:colOff>
      <xdr:row>71</xdr:row>
      <xdr:rowOff>28575</xdr:rowOff>
    </xdr:to>
    <xdr:pic>
      <xdr:nvPicPr>
        <xdr:cNvPr id="2" name="Picture 3" descr="blank">
          <a:extLst>
            <a:ext uri="{FF2B5EF4-FFF2-40B4-BE49-F238E27FC236}">
              <a16:creationId xmlns:a16="http://schemas.microsoft.com/office/drawing/2014/main" id="{EC89E1A7-C70D-4CC0-9A91-831AF8A100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1950" y="3600450"/>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71</xdr:row>
      <xdr:rowOff>0</xdr:rowOff>
    </xdr:from>
    <xdr:to>
      <xdr:col>1</xdr:col>
      <xdr:colOff>57150</xdr:colOff>
      <xdr:row>71</xdr:row>
      <xdr:rowOff>28575</xdr:rowOff>
    </xdr:to>
    <xdr:pic>
      <xdr:nvPicPr>
        <xdr:cNvPr id="3" name="Picture 3" descr="blank">
          <a:extLst>
            <a:ext uri="{FF2B5EF4-FFF2-40B4-BE49-F238E27FC236}">
              <a16:creationId xmlns:a16="http://schemas.microsoft.com/office/drawing/2014/main" id="{61DC2DF1-1708-4D24-AAD3-EDE2E534EA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1950" y="3600450"/>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xdr:row>
      <xdr:rowOff>0</xdr:rowOff>
    </xdr:from>
    <xdr:to>
      <xdr:col>1</xdr:col>
      <xdr:colOff>57150</xdr:colOff>
      <xdr:row>16</xdr:row>
      <xdr:rowOff>28575</xdr:rowOff>
    </xdr:to>
    <xdr:pic>
      <xdr:nvPicPr>
        <xdr:cNvPr id="4" name="Picture 3" descr="blank">
          <a:extLst>
            <a:ext uri="{FF2B5EF4-FFF2-40B4-BE49-F238E27FC236}">
              <a16:creationId xmlns:a16="http://schemas.microsoft.com/office/drawing/2014/main" id="{F91D5E23-6BAF-4457-948A-B8456C2300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1950" y="2457450"/>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16</xdr:row>
      <xdr:rowOff>0</xdr:rowOff>
    </xdr:from>
    <xdr:to>
      <xdr:col>1</xdr:col>
      <xdr:colOff>57150</xdr:colOff>
      <xdr:row>16</xdr:row>
      <xdr:rowOff>28575</xdr:rowOff>
    </xdr:to>
    <xdr:pic>
      <xdr:nvPicPr>
        <xdr:cNvPr id="5" name="Picture 3" descr="blank">
          <a:extLst>
            <a:ext uri="{FF2B5EF4-FFF2-40B4-BE49-F238E27FC236}">
              <a16:creationId xmlns:a16="http://schemas.microsoft.com/office/drawing/2014/main" id="{18CF9EF2-9A59-4994-BB52-E8FB604DAB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1950" y="2457450"/>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15</xdr:row>
      <xdr:rowOff>0</xdr:rowOff>
    </xdr:from>
    <xdr:to>
      <xdr:col>1</xdr:col>
      <xdr:colOff>57150</xdr:colOff>
      <xdr:row>15</xdr:row>
      <xdr:rowOff>28575</xdr:rowOff>
    </xdr:to>
    <xdr:pic>
      <xdr:nvPicPr>
        <xdr:cNvPr id="6" name="Picture 5" descr="blank">
          <a:extLst>
            <a:ext uri="{FF2B5EF4-FFF2-40B4-BE49-F238E27FC236}">
              <a16:creationId xmlns:a16="http://schemas.microsoft.com/office/drawing/2014/main" id="{83A780D7-54C0-41AE-96BF-38C1574BE3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1950" y="2457450"/>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15</xdr:row>
      <xdr:rowOff>0</xdr:rowOff>
    </xdr:from>
    <xdr:to>
      <xdr:col>1</xdr:col>
      <xdr:colOff>57150</xdr:colOff>
      <xdr:row>15</xdr:row>
      <xdr:rowOff>28575</xdr:rowOff>
    </xdr:to>
    <xdr:pic>
      <xdr:nvPicPr>
        <xdr:cNvPr id="7" name="Picture 3" descr="blank">
          <a:extLst>
            <a:ext uri="{FF2B5EF4-FFF2-40B4-BE49-F238E27FC236}">
              <a16:creationId xmlns:a16="http://schemas.microsoft.com/office/drawing/2014/main" id="{EA12CD78-1CC0-4C92-9ED4-C16DC8FEE1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1950" y="2457450"/>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93</xdr:row>
      <xdr:rowOff>0</xdr:rowOff>
    </xdr:from>
    <xdr:to>
      <xdr:col>1</xdr:col>
      <xdr:colOff>57150</xdr:colOff>
      <xdr:row>93</xdr:row>
      <xdr:rowOff>28575</xdr:rowOff>
    </xdr:to>
    <xdr:pic>
      <xdr:nvPicPr>
        <xdr:cNvPr id="8" name="Picture 3" descr="blank">
          <a:extLst>
            <a:ext uri="{FF2B5EF4-FFF2-40B4-BE49-F238E27FC236}">
              <a16:creationId xmlns:a16="http://schemas.microsoft.com/office/drawing/2014/main" id="{DA4C18F1-C12F-427D-9BE3-A8EA228FA9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1950" y="8324850"/>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93</xdr:row>
      <xdr:rowOff>0</xdr:rowOff>
    </xdr:from>
    <xdr:to>
      <xdr:col>1</xdr:col>
      <xdr:colOff>57150</xdr:colOff>
      <xdr:row>93</xdr:row>
      <xdr:rowOff>28575</xdr:rowOff>
    </xdr:to>
    <xdr:pic>
      <xdr:nvPicPr>
        <xdr:cNvPr id="9" name="Picture 3" descr="blank">
          <a:extLst>
            <a:ext uri="{FF2B5EF4-FFF2-40B4-BE49-F238E27FC236}">
              <a16:creationId xmlns:a16="http://schemas.microsoft.com/office/drawing/2014/main" id="{BE4BE22C-69E0-4CB8-9BE0-B130E0BD60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1950" y="8324850"/>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18</xdr:row>
      <xdr:rowOff>0</xdr:rowOff>
    </xdr:from>
    <xdr:to>
      <xdr:col>1</xdr:col>
      <xdr:colOff>57150</xdr:colOff>
      <xdr:row>18</xdr:row>
      <xdr:rowOff>28575</xdr:rowOff>
    </xdr:to>
    <xdr:pic>
      <xdr:nvPicPr>
        <xdr:cNvPr id="10" name="Picture 9" descr="blank">
          <a:extLst>
            <a:ext uri="{FF2B5EF4-FFF2-40B4-BE49-F238E27FC236}">
              <a16:creationId xmlns:a16="http://schemas.microsoft.com/office/drawing/2014/main" id="{3F0A2523-B551-44D8-B6A3-9689A6226BB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1950" y="2457450"/>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18</xdr:row>
      <xdr:rowOff>0</xdr:rowOff>
    </xdr:from>
    <xdr:to>
      <xdr:col>1</xdr:col>
      <xdr:colOff>57150</xdr:colOff>
      <xdr:row>18</xdr:row>
      <xdr:rowOff>28575</xdr:rowOff>
    </xdr:to>
    <xdr:pic>
      <xdr:nvPicPr>
        <xdr:cNvPr id="11" name="Picture 3" descr="blank">
          <a:extLst>
            <a:ext uri="{FF2B5EF4-FFF2-40B4-BE49-F238E27FC236}">
              <a16:creationId xmlns:a16="http://schemas.microsoft.com/office/drawing/2014/main" id="{29C7E565-9EA5-4B52-8CD7-65609ABC03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1950" y="2457450"/>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17</xdr:row>
      <xdr:rowOff>0</xdr:rowOff>
    </xdr:from>
    <xdr:to>
      <xdr:col>1</xdr:col>
      <xdr:colOff>57150</xdr:colOff>
      <xdr:row>17</xdr:row>
      <xdr:rowOff>28575</xdr:rowOff>
    </xdr:to>
    <xdr:pic>
      <xdr:nvPicPr>
        <xdr:cNvPr id="12" name="Picture 11" descr="blank">
          <a:extLst>
            <a:ext uri="{FF2B5EF4-FFF2-40B4-BE49-F238E27FC236}">
              <a16:creationId xmlns:a16="http://schemas.microsoft.com/office/drawing/2014/main" id="{B6EA7F73-3B49-43DC-BF12-4AE85F74A1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1950" y="2457450"/>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17</xdr:row>
      <xdr:rowOff>0</xdr:rowOff>
    </xdr:from>
    <xdr:to>
      <xdr:col>1</xdr:col>
      <xdr:colOff>57150</xdr:colOff>
      <xdr:row>17</xdr:row>
      <xdr:rowOff>28575</xdr:rowOff>
    </xdr:to>
    <xdr:pic>
      <xdr:nvPicPr>
        <xdr:cNvPr id="13" name="Picture 3" descr="blank">
          <a:extLst>
            <a:ext uri="{FF2B5EF4-FFF2-40B4-BE49-F238E27FC236}">
              <a16:creationId xmlns:a16="http://schemas.microsoft.com/office/drawing/2014/main" id="{4560B7AC-7011-4063-B50B-FAB9B738C6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1950" y="2457450"/>
          <a:ext cx="57150" cy="28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K&#7923;%20h&#7885;p%20giao%20DT/Ngh&#7883;%20quy&#7871;t%20+%20bi&#7875;u/T&#7901;%20tr&#236;nh+%20bi&#7875;u/T&#7892;NG%2013%20bi&#7875;u%20NS%20k&#232;m%20TT%20k&#7923;%20h&#7885;p.xlsx" TargetMode="External"/><Relationship Id="rId1" Type="http://schemas.openxmlformats.org/officeDocument/2006/relationships/externalLinkPath" Target="/NS%20%20N&#258;M%202026%20LP/K&#7922;%20h&#7885;p%20H&#272;ND%202026/K&#7923;%20h&#7885;p%20giao%20DT/Ngh&#7883;%20quy&#7871;t%20+%20bi&#7875;u/T&#7901;%20tr&#236;nh+%20bi&#7875;u/T&#7892;NG%2013%20bi&#7875;u%20NS%20k&#232;m%20TT%20k&#7923;%20h&#7885;p.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HUONG\Downloads\Bi&#7875;u%20k&#232;m%20TTr%20-H&#272;ND%2008.7.xlsx" TargetMode="External"/><Relationship Id="rId1" Type="http://schemas.openxmlformats.org/officeDocument/2006/relationships/externalLinkPath" Target="file:///C:\Users\HUONG\Downloads\Bi&#7875;u%20k&#232;m%20TTr%20-H&#272;ND%2008.7.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1.%20X&#195;%20L&#217;NG%20PH&#204;NH%20M&#7898;I_L/6.%20B&#7842;NG%20L&#431;&#416;NG%20CBCC%201/B&#7842;NG%20L&#431;&#416;NG/2.%20V&#258;N%20PH&#210;NG%20H&#272;ND%20V&#192;%20UBND/1.%20B&#7842;NG%20L&#431;&#416;NG%20TH&#193;NG%209/1.%20L&#432;&#417;ng%20CBCC%20x&#227;/2.%20B&#7843;ng%20L&#432;&#417;ng%20th&#225;ng%2009.2024%20-%20ko%20Bi&#234;n%20gi&#7899;i.xlsm" TargetMode="External"/><Relationship Id="rId1" Type="http://schemas.openxmlformats.org/officeDocument/2006/relationships/externalLinkPath" Target="/1.%20X&#195;%20L&#217;NG%20PH&#204;NH%20M&#7898;I_L/6.%20B&#7842;NG%20L&#431;&#416;NG%20CBCC%201/B&#7842;NG%20L&#431;&#416;NG/2.%20V&#258;N%20PH&#210;NG%20H&#272;ND%20V&#192;%20UBND/1.%20B&#7842;NG%20L&#431;&#416;NG%20TH&#193;NG%209/1.%20L&#432;&#417;ng%20CBCC%20x&#227;/2.%20B&#7843;ng%20L&#432;&#417;ng%20th&#225;ng%2009.2024%20-%20ko%20Bi&#234;n%20gi&#7899;i.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Sheet1"/>
      <sheetName val="01"/>
      <sheetName val="02"/>
      <sheetName val="03"/>
      <sheetName val="04"/>
      <sheetName val="05"/>
      <sheetName val="06"/>
      <sheetName val="07"/>
      <sheetName val="8"/>
      <sheetName val="9"/>
      <sheetName val="10"/>
      <sheetName val="11"/>
      <sheetName val="12"/>
      <sheetName val="13,CHI TIẾT"/>
    </sheetNames>
    <sheetDataSet>
      <sheetData sheetId="0" refreshError="1"/>
      <sheetData sheetId="1" refreshError="1">
        <row r="3">
          <cell r="A3" t="str">
            <v>(Kèm theo Tờ trình số: 65/TTr-UBND ngày 04 tháng 12 năm 2025 của UBND xã Lùng Phình)</v>
          </cell>
        </row>
        <row r="11">
          <cell r="C11">
            <v>0</v>
          </cell>
        </row>
        <row r="12">
          <cell r="C12">
            <v>10</v>
          </cell>
        </row>
        <row r="14">
          <cell r="C14">
            <v>390</v>
          </cell>
        </row>
        <row r="15">
          <cell r="C15">
            <v>570</v>
          </cell>
        </row>
        <row r="17">
          <cell r="C17">
            <v>0</v>
          </cell>
        </row>
        <row r="18">
          <cell r="C18">
            <v>100</v>
          </cell>
        </row>
        <row r="20">
          <cell r="C20">
            <v>25</v>
          </cell>
        </row>
        <row r="21">
          <cell r="B21" t="str">
            <v>Thu tiền sử dụng đất</v>
          </cell>
        </row>
        <row r="23">
          <cell r="C23">
            <v>0</v>
          </cell>
        </row>
        <row r="24">
          <cell r="C24">
            <v>0</v>
          </cell>
        </row>
        <row r="26">
          <cell r="C26">
            <v>0</v>
          </cell>
        </row>
      </sheetData>
      <sheetData sheetId="2" refreshError="1"/>
      <sheetData sheetId="3" refreshError="1"/>
      <sheetData sheetId="4" refreshError="1"/>
      <sheetData sheetId="5" refreshError="1"/>
      <sheetData sheetId="6" refreshError="1"/>
      <sheetData sheetId="7" refreshError="1">
        <row r="9">
          <cell r="E9">
            <v>290000.48837209301</v>
          </cell>
        </row>
        <row r="122">
          <cell r="B122" t="str">
            <v>Thu để lại đầu tư từ tiền sử dụng đất</v>
          </cell>
        </row>
        <row r="125">
          <cell r="B125" t="str">
            <v>Thu bổ sung từ ngân sách tỉnh</v>
          </cell>
        </row>
      </sheetData>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Biểu Thu "/>
      <sheetName val="Biểu CĐ chi "/>
      <sheetName val="Biểu TH trình kỳ họp "/>
      <sheetName val="Biểu 04-CNNS"/>
      <sheetName val="Biểu 05-CNĐT "/>
      <sheetName val="Biểu 06-ĐT TH"/>
      <sheetName val="Nguồn chưa phân bổ "/>
      <sheetName val="Dự phòng "/>
      <sheetName val="Phụ lục 01"/>
      <sheetName val="PL02"/>
      <sheetName val="3. CN"/>
    </sheetNames>
    <sheetDataSet>
      <sheetData sheetId="0">
        <row r="5">
          <cell r="A5" t="str">
            <v>(Kèm theo Tờ trình số 112/TTr- UBND ngày 02 tháng 7 năm 2026 của UBND xã Lùng Phình)</v>
          </cell>
          <cell r="B5"/>
          <cell r="C5"/>
          <cell r="D5"/>
          <cell r="E5"/>
        </row>
      </sheetData>
      <sheetData sheetId="1"/>
      <sheetData sheetId="2"/>
      <sheetData sheetId="3"/>
      <sheetData sheetId="4"/>
      <sheetData sheetId="5"/>
      <sheetData sheetId="6"/>
      <sheetData sheetId="7"/>
      <sheetData sheetId="8"/>
      <sheetData sheetId="9"/>
      <sheetData sheetId="1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BHXH"/>
      <sheetName val="VP UBND"/>
      <sheetName val="09_VP"/>
      <sheetName val="Sheet1"/>
      <sheetName val="00000000"/>
    </sheetNames>
    <sheetDataSet>
      <sheetData sheetId="0" refreshError="1"/>
      <sheetData sheetId="1" refreshError="1">
        <row r="8">
          <cell r="A8" t="str">
            <v>I</v>
          </cell>
        </row>
      </sheetData>
      <sheetData sheetId="2" refreshError="1"/>
      <sheetData sheetId="3" refreshError="1"/>
      <sheetData sheetId="4"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thuvienphapluat.vn/phap-luat/tim-van-ban.aspx?keyword=102/2009/Q%C4%90-TTg&amp;area=2&amp;type=0&amp;match=False&amp;vc=True&amp;lan=1"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B44F69-F222-46F5-8797-EAD785B9139A}">
  <dimension ref="A1:G130"/>
  <sheetViews>
    <sheetView view="pageBreakPreview" zoomScale="98" zoomScaleNormal="100" zoomScaleSheetLayoutView="98" workbookViewId="0">
      <selection activeCell="A5" sqref="A5:E5"/>
    </sheetView>
  </sheetViews>
  <sheetFormatPr defaultRowHeight="15.75" x14ac:dyDescent="0.25"/>
  <cols>
    <col min="1" max="1" width="5.875" customWidth="1"/>
    <col min="2" max="2" width="55.25" customWidth="1"/>
    <col min="3" max="3" width="12.125" customWidth="1"/>
    <col min="4" max="4" width="11" customWidth="1"/>
    <col min="5" max="5" width="14.25" customWidth="1"/>
  </cols>
  <sheetData>
    <row r="1" spans="1:6" x14ac:dyDescent="0.25">
      <c r="A1" s="442" t="s">
        <v>124</v>
      </c>
      <c r="B1" s="442"/>
      <c r="C1" s="442"/>
      <c r="D1" s="442"/>
      <c r="E1" s="442"/>
    </row>
    <row r="2" spans="1:6" ht="16.5" x14ac:dyDescent="0.25">
      <c r="A2" s="443" t="s">
        <v>389</v>
      </c>
      <c r="B2" s="443"/>
      <c r="C2" s="443"/>
      <c r="D2" s="443"/>
      <c r="E2" s="443"/>
    </row>
    <row r="3" spans="1:6" hidden="1" x14ac:dyDescent="0.25">
      <c r="A3" s="444" t="s">
        <v>283</v>
      </c>
      <c r="B3" s="444"/>
      <c r="C3" s="444"/>
      <c r="D3" s="444"/>
      <c r="E3" s="444"/>
    </row>
    <row r="4" spans="1:6" ht="18.75" hidden="1" x14ac:dyDescent="0.25">
      <c r="A4" s="445" t="s">
        <v>284</v>
      </c>
      <c r="B4" s="445"/>
      <c r="C4" s="445"/>
      <c r="D4" s="445"/>
      <c r="E4" s="445"/>
    </row>
    <row r="5" spans="1:6" x14ac:dyDescent="0.25">
      <c r="A5" s="444" t="s">
        <v>893</v>
      </c>
      <c r="B5" s="444"/>
      <c r="C5" s="444"/>
      <c r="D5" s="444"/>
      <c r="E5" s="444"/>
    </row>
    <row r="6" spans="1:6" x14ac:dyDescent="0.25">
      <c r="A6" s="83"/>
      <c r="B6" s="83"/>
      <c r="C6" s="84"/>
      <c r="D6" s="441" t="s">
        <v>0</v>
      </c>
      <c r="E6" s="441"/>
    </row>
    <row r="7" spans="1:6" ht="18" customHeight="1" x14ac:dyDescent="0.25">
      <c r="A7" s="446" t="s">
        <v>1</v>
      </c>
      <c r="B7" s="446" t="s">
        <v>285</v>
      </c>
      <c r="C7" s="447" t="s">
        <v>241</v>
      </c>
      <c r="D7" s="448" t="s">
        <v>286</v>
      </c>
      <c r="E7" s="448" t="s">
        <v>287</v>
      </c>
    </row>
    <row r="8" spans="1:6" ht="76.5" customHeight="1" x14ac:dyDescent="0.25">
      <c r="A8" s="446"/>
      <c r="B8" s="446"/>
      <c r="C8" s="447"/>
      <c r="D8" s="449"/>
      <c r="E8" s="449"/>
    </row>
    <row r="9" spans="1:6" x14ac:dyDescent="0.25">
      <c r="A9" s="85" t="s">
        <v>130</v>
      </c>
      <c r="B9" s="102" t="s">
        <v>288</v>
      </c>
      <c r="C9" s="103">
        <f>+C10+C115</f>
        <v>1095</v>
      </c>
      <c r="D9" s="103">
        <f t="shared" ref="D9:E9" si="0">+D10+D115</f>
        <v>0</v>
      </c>
      <c r="E9" s="103">
        <f t="shared" si="0"/>
        <v>1095</v>
      </c>
    </row>
    <row r="10" spans="1:6" x14ac:dyDescent="0.25">
      <c r="A10" s="85" t="s">
        <v>2</v>
      </c>
      <c r="B10" s="102" t="s">
        <v>289</v>
      </c>
      <c r="C10" s="103">
        <f>+C13+C20+C27+C34+C53+C56+C60+C64+C65+C66+C80+C92+C98+C101+C102+C103+C104+C107+C108+C109</f>
        <v>1095</v>
      </c>
      <c r="D10" s="103">
        <f t="shared" ref="D10:F10" si="1">+D13+D20+D27+D34+D53+D56+D60+D64+D65+D66+D80+D92+D98+D101+D102+D103+D104+D107+D108+D109</f>
        <v>0</v>
      </c>
      <c r="E10" s="103">
        <f t="shared" si="1"/>
        <v>1095</v>
      </c>
      <c r="F10" s="103">
        <f t="shared" si="1"/>
        <v>0</v>
      </c>
    </row>
    <row r="11" spans="1:6" x14ac:dyDescent="0.25">
      <c r="A11" s="104" t="s">
        <v>290</v>
      </c>
      <c r="B11" s="105" t="s">
        <v>291</v>
      </c>
      <c r="C11" s="106">
        <v>0</v>
      </c>
      <c r="D11" s="87"/>
      <c r="E11" s="86">
        <f t="shared" ref="E11:E73" si="2">+C11</f>
        <v>0</v>
      </c>
    </row>
    <row r="12" spans="1:6" x14ac:dyDescent="0.25">
      <c r="A12" s="107" t="s">
        <v>290</v>
      </c>
      <c r="B12" s="105" t="s">
        <v>292</v>
      </c>
      <c r="C12" s="106">
        <v>1095</v>
      </c>
      <c r="D12" s="87"/>
      <c r="E12" s="86">
        <f t="shared" si="2"/>
        <v>1095</v>
      </c>
    </row>
    <row r="13" spans="1:6" ht="28.5" x14ac:dyDescent="0.25">
      <c r="A13" s="85">
        <v>1</v>
      </c>
      <c r="B13" s="108" t="s">
        <v>293</v>
      </c>
      <c r="C13" s="103"/>
      <c r="D13" s="87"/>
      <c r="E13" s="86">
        <f t="shared" si="2"/>
        <v>0</v>
      </c>
    </row>
    <row r="14" spans="1:6" x14ac:dyDescent="0.25">
      <c r="A14" s="109" t="s">
        <v>123</v>
      </c>
      <c r="B14" s="110" t="s">
        <v>294</v>
      </c>
      <c r="C14" s="111"/>
      <c r="D14" s="87"/>
      <c r="E14" s="86">
        <f t="shared" si="2"/>
        <v>0</v>
      </c>
    </row>
    <row r="15" spans="1:6" x14ac:dyDescent="0.25">
      <c r="A15" s="109" t="s">
        <v>123</v>
      </c>
      <c r="B15" s="110" t="s">
        <v>295</v>
      </c>
      <c r="C15" s="111"/>
      <c r="D15" s="86"/>
      <c r="E15" s="86">
        <f t="shared" si="2"/>
        <v>0</v>
      </c>
    </row>
    <row r="16" spans="1:6" ht="30" x14ac:dyDescent="0.25">
      <c r="A16" s="109" t="s">
        <v>123</v>
      </c>
      <c r="B16" s="110" t="s">
        <v>296</v>
      </c>
      <c r="C16" s="111"/>
      <c r="D16" s="88"/>
      <c r="E16" s="86">
        <f t="shared" si="2"/>
        <v>0</v>
      </c>
    </row>
    <row r="17" spans="1:5" x14ac:dyDescent="0.25">
      <c r="A17" s="109" t="s">
        <v>123</v>
      </c>
      <c r="B17" s="110" t="s">
        <v>297</v>
      </c>
      <c r="C17" s="111"/>
      <c r="D17" s="88"/>
      <c r="E17" s="86">
        <f t="shared" si="2"/>
        <v>0</v>
      </c>
    </row>
    <row r="18" spans="1:5" x14ac:dyDescent="0.25">
      <c r="A18" s="112" t="s">
        <v>189</v>
      </c>
      <c r="B18" s="113" t="s">
        <v>298</v>
      </c>
      <c r="C18" s="111"/>
      <c r="D18" s="88"/>
      <c r="E18" s="86">
        <f t="shared" si="2"/>
        <v>0</v>
      </c>
    </row>
    <row r="19" spans="1:5" ht="30" x14ac:dyDescent="0.25">
      <c r="A19" s="112" t="s">
        <v>189</v>
      </c>
      <c r="B19" s="113" t="s">
        <v>299</v>
      </c>
      <c r="C19" s="111"/>
      <c r="D19" s="88"/>
      <c r="E19" s="86">
        <f t="shared" si="2"/>
        <v>0</v>
      </c>
    </row>
    <row r="20" spans="1:5" ht="28.5" x14ac:dyDescent="0.25">
      <c r="A20" s="85">
        <v>2</v>
      </c>
      <c r="B20" s="108" t="s">
        <v>300</v>
      </c>
      <c r="C20" s="103">
        <f>+C21+C22+C23+C24</f>
        <v>10</v>
      </c>
      <c r="D20" s="88"/>
      <c r="E20" s="86">
        <f t="shared" si="2"/>
        <v>10</v>
      </c>
    </row>
    <row r="21" spans="1:5" x14ac:dyDescent="0.25">
      <c r="A21" s="109" t="s">
        <v>123</v>
      </c>
      <c r="B21" s="110" t="s">
        <v>294</v>
      </c>
      <c r="C21" s="111">
        <v>10</v>
      </c>
      <c r="D21" s="88"/>
      <c r="E21" s="86">
        <f t="shared" si="2"/>
        <v>10</v>
      </c>
    </row>
    <row r="22" spans="1:5" ht="30" x14ac:dyDescent="0.25">
      <c r="A22" s="109" t="s">
        <v>123</v>
      </c>
      <c r="B22" s="110" t="s">
        <v>301</v>
      </c>
      <c r="C22" s="111"/>
      <c r="D22" s="86"/>
      <c r="E22" s="86">
        <f t="shared" si="2"/>
        <v>0</v>
      </c>
    </row>
    <row r="23" spans="1:5" ht="30" x14ac:dyDescent="0.25">
      <c r="A23" s="109" t="s">
        <v>123</v>
      </c>
      <c r="B23" s="110" t="s">
        <v>296</v>
      </c>
      <c r="C23" s="111"/>
      <c r="D23" s="88"/>
      <c r="E23" s="86">
        <f t="shared" si="2"/>
        <v>0</v>
      </c>
    </row>
    <row r="24" spans="1:5" x14ac:dyDescent="0.25">
      <c r="A24" s="109" t="s">
        <v>123</v>
      </c>
      <c r="B24" s="110" t="s">
        <v>297</v>
      </c>
      <c r="C24" s="111"/>
      <c r="D24" s="88"/>
      <c r="E24" s="86">
        <f t="shared" si="2"/>
        <v>0</v>
      </c>
    </row>
    <row r="25" spans="1:5" x14ac:dyDescent="0.25">
      <c r="A25" s="112" t="s">
        <v>189</v>
      </c>
      <c r="B25" s="113" t="s">
        <v>298</v>
      </c>
      <c r="C25" s="111"/>
      <c r="D25" s="88"/>
      <c r="E25" s="86">
        <f t="shared" si="2"/>
        <v>0</v>
      </c>
    </row>
    <row r="26" spans="1:5" ht="30" x14ac:dyDescent="0.25">
      <c r="A26" s="112" t="s">
        <v>189</v>
      </c>
      <c r="B26" s="113" t="s">
        <v>299</v>
      </c>
      <c r="C26" s="111"/>
      <c r="D26" s="88"/>
      <c r="E26" s="86">
        <f t="shared" si="2"/>
        <v>0</v>
      </c>
    </row>
    <row r="27" spans="1:5" ht="28.5" x14ac:dyDescent="0.25">
      <c r="A27" s="85">
        <v>3</v>
      </c>
      <c r="B27" s="108" t="s">
        <v>302</v>
      </c>
      <c r="C27" s="111"/>
      <c r="D27" s="88"/>
      <c r="E27" s="86">
        <f t="shared" si="2"/>
        <v>0</v>
      </c>
    </row>
    <row r="28" spans="1:5" x14ac:dyDescent="0.25">
      <c r="A28" s="109" t="s">
        <v>123</v>
      </c>
      <c r="B28" s="110" t="s">
        <v>303</v>
      </c>
      <c r="C28" s="111"/>
      <c r="D28" s="88"/>
      <c r="E28" s="86">
        <f t="shared" si="2"/>
        <v>0</v>
      </c>
    </row>
    <row r="29" spans="1:5" ht="30" x14ac:dyDescent="0.25">
      <c r="A29" s="109" t="s">
        <v>123</v>
      </c>
      <c r="B29" s="110" t="s">
        <v>304</v>
      </c>
      <c r="C29" s="111"/>
      <c r="D29" s="88"/>
      <c r="E29" s="86">
        <f t="shared" si="2"/>
        <v>0</v>
      </c>
    </row>
    <row r="30" spans="1:5" ht="30" x14ac:dyDescent="0.25">
      <c r="A30" s="109" t="s">
        <v>123</v>
      </c>
      <c r="B30" s="110" t="s">
        <v>296</v>
      </c>
      <c r="C30" s="111"/>
      <c r="D30" s="88"/>
      <c r="E30" s="86">
        <f t="shared" si="2"/>
        <v>0</v>
      </c>
    </row>
    <row r="31" spans="1:5" x14ac:dyDescent="0.25">
      <c r="A31" s="109" t="s">
        <v>123</v>
      </c>
      <c r="B31" s="110" t="s">
        <v>297</v>
      </c>
      <c r="C31" s="111"/>
      <c r="D31" s="88"/>
      <c r="E31" s="86">
        <f t="shared" si="2"/>
        <v>0</v>
      </c>
    </row>
    <row r="32" spans="1:5" x14ac:dyDescent="0.25">
      <c r="A32" s="112" t="s">
        <v>189</v>
      </c>
      <c r="B32" s="113" t="s">
        <v>298</v>
      </c>
      <c r="C32" s="111"/>
      <c r="D32" s="88"/>
      <c r="E32" s="86">
        <f t="shared" si="2"/>
        <v>0</v>
      </c>
    </row>
    <row r="33" spans="1:5" ht="30" x14ac:dyDescent="0.25">
      <c r="A33" s="112" t="s">
        <v>189</v>
      </c>
      <c r="B33" s="113" t="s">
        <v>299</v>
      </c>
      <c r="C33" s="111"/>
      <c r="D33" s="88"/>
      <c r="E33" s="86">
        <f t="shared" si="2"/>
        <v>0</v>
      </c>
    </row>
    <row r="34" spans="1:5" x14ac:dyDescent="0.25">
      <c r="A34" s="85">
        <v>4</v>
      </c>
      <c r="B34" s="114" t="s">
        <v>305</v>
      </c>
      <c r="C34" s="103">
        <f>+C43+C45</f>
        <v>390</v>
      </c>
      <c r="D34" s="88"/>
      <c r="E34" s="86">
        <f t="shared" si="2"/>
        <v>390</v>
      </c>
    </row>
    <row r="35" spans="1:5" ht="30" x14ac:dyDescent="0.25">
      <c r="A35" s="109" t="s">
        <v>123</v>
      </c>
      <c r="B35" s="110" t="s">
        <v>306</v>
      </c>
      <c r="C35" s="111"/>
      <c r="D35" s="88"/>
      <c r="E35" s="86">
        <f t="shared" si="2"/>
        <v>0</v>
      </c>
    </row>
    <row r="36" spans="1:5" ht="30" x14ac:dyDescent="0.25">
      <c r="A36" s="109" t="s">
        <v>123</v>
      </c>
      <c r="B36" s="110" t="s">
        <v>304</v>
      </c>
      <c r="C36" s="111"/>
      <c r="D36" s="86"/>
      <c r="E36" s="86">
        <f t="shared" si="2"/>
        <v>0</v>
      </c>
    </row>
    <row r="37" spans="1:5" ht="30" x14ac:dyDescent="0.25">
      <c r="A37" s="109" t="s">
        <v>123</v>
      </c>
      <c r="B37" s="110" t="s">
        <v>296</v>
      </c>
      <c r="C37" s="111"/>
      <c r="D37" s="88"/>
      <c r="E37" s="86">
        <f t="shared" si="2"/>
        <v>0</v>
      </c>
    </row>
    <row r="38" spans="1:5" x14ac:dyDescent="0.25">
      <c r="A38" s="109"/>
      <c r="B38" s="113" t="s">
        <v>307</v>
      </c>
      <c r="C38" s="111"/>
      <c r="D38" s="88"/>
      <c r="E38" s="86">
        <f t="shared" si="2"/>
        <v>0</v>
      </c>
    </row>
    <row r="39" spans="1:5" x14ac:dyDescent="0.25">
      <c r="A39" s="109" t="s">
        <v>123</v>
      </c>
      <c r="B39" s="110" t="s">
        <v>297</v>
      </c>
      <c r="C39" s="111"/>
      <c r="D39" s="88"/>
      <c r="E39" s="86">
        <f t="shared" si="2"/>
        <v>0</v>
      </c>
    </row>
    <row r="40" spans="1:5" x14ac:dyDescent="0.25">
      <c r="A40" s="112" t="s">
        <v>189</v>
      </c>
      <c r="B40" s="113" t="s">
        <v>298</v>
      </c>
      <c r="C40" s="111"/>
      <c r="D40" s="88"/>
      <c r="E40" s="86">
        <f t="shared" si="2"/>
        <v>0</v>
      </c>
    </row>
    <row r="41" spans="1:5" ht="30" x14ac:dyDescent="0.25">
      <c r="A41" s="112" t="s">
        <v>189</v>
      </c>
      <c r="B41" s="113" t="s">
        <v>299</v>
      </c>
      <c r="C41" s="111"/>
      <c r="D41" s="88"/>
      <c r="E41" s="86">
        <f t="shared" si="2"/>
        <v>0</v>
      </c>
    </row>
    <row r="42" spans="1:5" x14ac:dyDescent="0.25">
      <c r="A42" s="85" t="s">
        <v>10</v>
      </c>
      <c r="B42" s="102" t="s">
        <v>308</v>
      </c>
      <c r="C42" s="103">
        <f>+C43+C44</f>
        <v>60</v>
      </c>
      <c r="D42" s="88"/>
      <c r="E42" s="86">
        <f t="shared" si="2"/>
        <v>60</v>
      </c>
    </row>
    <row r="43" spans="1:5" x14ac:dyDescent="0.25">
      <c r="A43" s="109" t="s">
        <v>123</v>
      </c>
      <c r="B43" s="110" t="s">
        <v>303</v>
      </c>
      <c r="C43" s="111">
        <v>60</v>
      </c>
      <c r="D43" s="88"/>
      <c r="E43" s="86">
        <f t="shared" si="2"/>
        <v>60</v>
      </c>
    </row>
    <row r="44" spans="1:5" ht="30" x14ac:dyDescent="0.25">
      <c r="A44" s="109" t="s">
        <v>123</v>
      </c>
      <c r="B44" s="110" t="s">
        <v>296</v>
      </c>
      <c r="C44" s="111"/>
      <c r="D44" s="86"/>
      <c r="E44" s="86">
        <f t="shared" si="2"/>
        <v>0</v>
      </c>
    </row>
    <row r="45" spans="1:5" x14ac:dyDescent="0.25">
      <c r="A45" s="85" t="s">
        <v>11</v>
      </c>
      <c r="B45" s="102" t="s">
        <v>309</v>
      </c>
      <c r="C45" s="103">
        <f>+C46+C47+C48+C50</f>
        <v>330</v>
      </c>
      <c r="D45" s="88"/>
      <c r="E45" s="86">
        <f t="shared" si="2"/>
        <v>330</v>
      </c>
    </row>
    <row r="46" spans="1:5" ht="30" x14ac:dyDescent="0.25">
      <c r="A46" s="109" t="s">
        <v>123</v>
      </c>
      <c r="B46" s="110" t="s">
        <v>306</v>
      </c>
      <c r="C46" s="111">
        <f>390-C43</f>
        <v>330</v>
      </c>
      <c r="D46" s="88"/>
      <c r="E46" s="86">
        <f t="shared" si="2"/>
        <v>330</v>
      </c>
    </row>
    <row r="47" spans="1:5" ht="30" x14ac:dyDescent="0.25">
      <c r="A47" s="109" t="s">
        <v>123</v>
      </c>
      <c r="B47" s="110" t="s">
        <v>304</v>
      </c>
      <c r="C47" s="111"/>
      <c r="D47" s="86"/>
      <c r="E47" s="86">
        <f t="shared" si="2"/>
        <v>0</v>
      </c>
    </row>
    <row r="48" spans="1:5" ht="30" x14ac:dyDescent="0.25">
      <c r="A48" s="109" t="s">
        <v>123</v>
      </c>
      <c r="B48" s="110" t="s">
        <v>296</v>
      </c>
      <c r="C48" s="111"/>
      <c r="D48" s="88"/>
      <c r="E48" s="86">
        <f t="shared" si="2"/>
        <v>0</v>
      </c>
    </row>
    <row r="49" spans="1:5" x14ac:dyDescent="0.25">
      <c r="A49" s="109"/>
      <c r="B49" s="113" t="s">
        <v>307</v>
      </c>
      <c r="C49" s="111"/>
      <c r="D49" s="88"/>
      <c r="E49" s="86">
        <f t="shared" si="2"/>
        <v>0</v>
      </c>
    </row>
    <row r="50" spans="1:5" x14ac:dyDescent="0.25">
      <c r="A50" s="109" t="s">
        <v>123</v>
      </c>
      <c r="B50" s="110" t="s">
        <v>297</v>
      </c>
      <c r="C50" s="111"/>
      <c r="D50" s="88"/>
      <c r="E50" s="86">
        <f t="shared" si="2"/>
        <v>0</v>
      </c>
    </row>
    <row r="51" spans="1:5" x14ac:dyDescent="0.25">
      <c r="A51" s="112" t="s">
        <v>189</v>
      </c>
      <c r="B51" s="113" t="s">
        <v>298</v>
      </c>
      <c r="C51" s="111"/>
      <c r="D51" s="88"/>
      <c r="E51" s="86">
        <f t="shared" si="2"/>
        <v>0</v>
      </c>
    </row>
    <row r="52" spans="1:5" ht="30" x14ac:dyDescent="0.25">
      <c r="A52" s="112" t="s">
        <v>189</v>
      </c>
      <c r="B52" s="113" t="s">
        <v>299</v>
      </c>
      <c r="C52" s="111"/>
      <c r="D52" s="88"/>
      <c r="E52" s="86">
        <f t="shared" si="2"/>
        <v>0</v>
      </c>
    </row>
    <row r="53" spans="1:5" ht="28.5" x14ac:dyDescent="0.25">
      <c r="A53" s="85">
        <v>5</v>
      </c>
      <c r="B53" s="102" t="s">
        <v>310</v>
      </c>
      <c r="C53" s="111">
        <f>+C54+C55</f>
        <v>0</v>
      </c>
      <c r="D53" s="88"/>
      <c r="E53" s="86">
        <f t="shared" si="2"/>
        <v>0</v>
      </c>
    </row>
    <row r="54" spans="1:5" x14ac:dyDescent="0.25">
      <c r="A54" s="115" t="s">
        <v>123</v>
      </c>
      <c r="B54" s="116" t="s">
        <v>311</v>
      </c>
      <c r="C54" s="111"/>
      <c r="D54" s="88"/>
      <c r="E54" s="86">
        <f t="shared" si="2"/>
        <v>0</v>
      </c>
    </row>
    <row r="55" spans="1:5" x14ac:dyDescent="0.25">
      <c r="A55" s="115" t="s">
        <v>123</v>
      </c>
      <c r="B55" s="116" t="s">
        <v>312</v>
      </c>
      <c r="C55" s="111"/>
      <c r="D55" s="88"/>
      <c r="E55" s="86">
        <f t="shared" si="2"/>
        <v>0</v>
      </c>
    </row>
    <row r="56" spans="1:5" x14ac:dyDescent="0.25">
      <c r="A56" s="85">
        <v>6</v>
      </c>
      <c r="B56" s="102" t="s">
        <v>313</v>
      </c>
      <c r="C56" s="103">
        <f>+C57+C58+C59</f>
        <v>100</v>
      </c>
      <c r="D56" s="88"/>
      <c r="E56" s="86">
        <f t="shared" si="2"/>
        <v>100</v>
      </c>
    </row>
    <row r="57" spans="1:5" x14ac:dyDescent="0.25">
      <c r="A57" s="115" t="s">
        <v>123</v>
      </c>
      <c r="B57" s="110" t="s">
        <v>314</v>
      </c>
      <c r="C57" s="111">
        <v>20</v>
      </c>
      <c r="D57" s="88"/>
      <c r="E57" s="86">
        <f t="shared" si="2"/>
        <v>20</v>
      </c>
    </row>
    <row r="58" spans="1:5" x14ac:dyDescent="0.25">
      <c r="A58" s="115" t="s">
        <v>123</v>
      </c>
      <c r="B58" s="110" t="s">
        <v>315</v>
      </c>
      <c r="C58" s="111">
        <v>40</v>
      </c>
      <c r="D58" s="86"/>
      <c r="E58" s="86">
        <f t="shared" si="2"/>
        <v>40</v>
      </c>
    </row>
    <row r="59" spans="1:5" ht="45" x14ac:dyDescent="0.25">
      <c r="A59" s="115" t="s">
        <v>123</v>
      </c>
      <c r="B59" s="110" t="s">
        <v>316</v>
      </c>
      <c r="C59" s="111">
        <v>40</v>
      </c>
      <c r="D59" s="88"/>
      <c r="E59" s="86">
        <f t="shared" si="2"/>
        <v>40</v>
      </c>
    </row>
    <row r="60" spans="1:5" x14ac:dyDescent="0.25">
      <c r="A60" s="85">
        <v>7</v>
      </c>
      <c r="B60" s="102" t="s">
        <v>317</v>
      </c>
      <c r="C60" s="103">
        <f>+C61+C62+C63</f>
        <v>570</v>
      </c>
      <c r="D60" s="88"/>
      <c r="E60" s="86">
        <f t="shared" si="2"/>
        <v>570</v>
      </c>
    </row>
    <row r="61" spans="1:5" x14ac:dyDescent="0.25">
      <c r="A61" s="115" t="s">
        <v>123</v>
      </c>
      <c r="B61" s="117" t="s">
        <v>394</v>
      </c>
      <c r="C61" s="111">
        <v>250</v>
      </c>
      <c r="D61" s="88"/>
      <c r="E61" s="86">
        <f t="shared" si="2"/>
        <v>250</v>
      </c>
    </row>
    <row r="62" spans="1:5" x14ac:dyDescent="0.25">
      <c r="A62" s="115" t="s">
        <v>123</v>
      </c>
      <c r="B62" s="117" t="s">
        <v>318</v>
      </c>
      <c r="C62" s="111">
        <v>320</v>
      </c>
      <c r="D62" s="86"/>
      <c r="E62" s="86">
        <f t="shared" si="2"/>
        <v>320</v>
      </c>
    </row>
    <row r="63" spans="1:5" x14ac:dyDescent="0.25">
      <c r="A63" s="115" t="s">
        <v>123</v>
      </c>
      <c r="B63" s="117" t="s">
        <v>319</v>
      </c>
      <c r="C63" s="111"/>
      <c r="D63" s="88"/>
      <c r="E63" s="86">
        <f t="shared" si="2"/>
        <v>0</v>
      </c>
    </row>
    <row r="64" spans="1:5" x14ac:dyDescent="0.25">
      <c r="A64" s="85">
        <v>8</v>
      </c>
      <c r="B64" s="102" t="s">
        <v>320</v>
      </c>
      <c r="C64" s="111"/>
      <c r="D64" s="88"/>
      <c r="E64" s="86">
        <f t="shared" si="2"/>
        <v>0</v>
      </c>
    </row>
    <row r="65" spans="1:5" x14ac:dyDescent="0.25">
      <c r="A65" s="85">
        <v>9</v>
      </c>
      <c r="B65" s="102" t="s">
        <v>321</v>
      </c>
      <c r="C65" s="111"/>
      <c r="D65" s="88"/>
      <c r="E65" s="86">
        <f t="shared" si="2"/>
        <v>0</v>
      </c>
    </row>
    <row r="66" spans="1:5" x14ac:dyDescent="0.25">
      <c r="A66" s="85">
        <v>10</v>
      </c>
      <c r="B66" s="102" t="s">
        <v>322</v>
      </c>
      <c r="C66" s="103">
        <v>25</v>
      </c>
      <c r="D66" s="88"/>
      <c r="E66" s="86">
        <f t="shared" si="2"/>
        <v>25</v>
      </c>
    </row>
    <row r="67" spans="1:5" x14ac:dyDescent="0.25">
      <c r="A67" s="85" t="s">
        <v>323</v>
      </c>
      <c r="B67" s="118" t="s">
        <v>324</v>
      </c>
      <c r="C67" s="111"/>
      <c r="D67" s="88"/>
      <c r="E67" s="86">
        <f t="shared" si="2"/>
        <v>0</v>
      </c>
    </row>
    <row r="68" spans="1:5" ht="28.5" x14ac:dyDescent="0.25">
      <c r="A68" s="85" t="s">
        <v>325</v>
      </c>
      <c r="B68" s="118" t="s">
        <v>326</v>
      </c>
      <c r="C68" s="111"/>
      <c r="D68" s="86"/>
      <c r="E68" s="86">
        <f t="shared" si="2"/>
        <v>0</v>
      </c>
    </row>
    <row r="69" spans="1:5" x14ac:dyDescent="0.25">
      <c r="A69" s="85" t="s">
        <v>327</v>
      </c>
      <c r="B69" s="102" t="s">
        <v>328</v>
      </c>
      <c r="C69" s="111">
        <f>+C70+C71</f>
        <v>0</v>
      </c>
      <c r="D69" s="88"/>
      <c r="E69" s="86">
        <f t="shared" si="2"/>
        <v>0</v>
      </c>
    </row>
    <row r="70" spans="1:5" x14ac:dyDescent="0.25">
      <c r="A70" s="115" t="s">
        <v>123</v>
      </c>
      <c r="B70" s="117" t="s">
        <v>329</v>
      </c>
      <c r="C70" s="111"/>
      <c r="D70" s="88"/>
      <c r="E70" s="86">
        <f t="shared" si="2"/>
        <v>0</v>
      </c>
    </row>
    <row r="71" spans="1:5" x14ac:dyDescent="0.25">
      <c r="A71" s="115" t="s">
        <v>123</v>
      </c>
      <c r="B71" s="117" t="s">
        <v>330</v>
      </c>
      <c r="C71" s="111"/>
      <c r="D71" s="88"/>
      <c r="E71" s="86">
        <f t="shared" si="2"/>
        <v>0</v>
      </c>
    </row>
    <row r="72" spans="1:5" x14ac:dyDescent="0.25">
      <c r="A72" s="85" t="s">
        <v>331</v>
      </c>
      <c r="B72" s="118" t="s">
        <v>332</v>
      </c>
      <c r="C72" s="111">
        <f>+C73+C74</f>
        <v>0</v>
      </c>
      <c r="D72" s="88"/>
      <c r="E72" s="86">
        <f t="shared" si="2"/>
        <v>0</v>
      </c>
    </row>
    <row r="73" spans="1:5" x14ac:dyDescent="0.25">
      <c r="A73" s="115" t="s">
        <v>123</v>
      </c>
      <c r="B73" s="119" t="s">
        <v>333</v>
      </c>
      <c r="C73" s="111"/>
      <c r="D73" s="88"/>
      <c r="E73" s="86">
        <f t="shared" si="2"/>
        <v>0</v>
      </c>
    </row>
    <row r="74" spans="1:5" x14ac:dyDescent="0.25">
      <c r="A74" s="115" t="s">
        <v>123</v>
      </c>
      <c r="B74" s="119" t="s">
        <v>395</v>
      </c>
      <c r="C74" s="111"/>
      <c r="D74" s="88"/>
      <c r="E74" s="86">
        <f t="shared" ref="E74:E128" si="3">+C74</f>
        <v>0</v>
      </c>
    </row>
    <row r="75" spans="1:5" ht="28.5" x14ac:dyDescent="0.25">
      <c r="A75" s="85" t="s">
        <v>334</v>
      </c>
      <c r="B75" s="102" t="s">
        <v>335</v>
      </c>
      <c r="C75" s="111">
        <v>25</v>
      </c>
      <c r="D75" s="88"/>
      <c r="E75" s="86">
        <f t="shared" si="3"/>
        <v>25</v>
      </c>
    </row>
    <row r="76" spans="1:5" x14ac:dyDescent="0.25">
      <c r="A76" s="115" t="s">
        <v>123</v>
      </c>
      <c r="B76" s="117" t="s">
        <v>336</v>
      </c>
      <c r="C76" s="111"/>
      <c r="D76" s="88"/>
      <c r="E76" s="86">
        <f t="shared" si="3"/>
        <v>0</v>
      </c>
    </row>
    <row r="77" spans="1:5" x14ac:dyDescent="0.25">
      <c r="A77" s="115" t="s">
        <v>123</v>
      </c>
      <c r="B77" s="117" t="s">
        <v>337</v>
      </c>
      <c r="C77" s="111"/>
      <c r="D77" s="88"/>
      <c r="E77" s="86">
        <f t="shared" si="3"/>
        <v>0</v>
      </c>
    </row>
    <row r="78" spans="1:5" x14ac:dyDescent="0.25">
      <c r="A78" s="115" t="s">
        <v>123</v>
      </c>
      <c r="B78" s="117" t="s">
        <v>338</v>
      </c>
      <c r="C78" s="111"/>
      <c r="D78" s="88"/>
      <c r="E78" s="86">
        <f t="shared" si="3"/>
        <v>0</v>
      </c>
    </row>
    <row r="79" spans="1:5" x14ac:dyDescent="0.25">
      <c r="A79" s="115" t="s">
        <v>123</v>
      </c>
      <c r="B79" s="117" t="s">
        <v>339</v>
      </c>
      <c r="C79" s="111">
        <v>0</v>
      </c>
      <c r="D79" s="88"/>
      <c r="E79" s="86">
        <f t="shared" si="3"/>
        <v>0</v>
      </c>
    </row>
    <row r="80" spans="1:5" x14ac:dyDescent="0.25">
      <c r="A80" s="85">
        <v>11</v>
      </c>
      <c r="B80" s="102" t="s">
        <v>340</v>
      </c>
      <c r="C80" s="111">
        <f>+C81+C82+C83+C84+C87+C88+C91</f>
        <v>0</v>
      </c>
      <c r="D80" s="88"/>
      <c r="E80" s="86">
        <f t="shared" si="3"/>
        <v>0</v>
      </c>
    </row>
    <row r="81" spans="1:5" ht="120" x14ac:dyDescent="0.25">
      <c r="A81" s="115" t="s">
        <v>123</v>
      </c>
      <c r="B81" s="120" t="s">
        <v>341</v>
      </c>
      <c r="C81" s="111"/>
      <c r="D81" s="88"/>
      <c r="E81" s="86">
        <f t="shared" si="3"/>
        <v>0</v>
      </c>
    </row>
    <row r="82" spans="1:5" ht="60" x14ac:dyDescent="0.25">
      <c r="A82" s="115" t="s">
        <v>123</v>
      </c>
      <c r="B82" s="110" t="s">
        <v>342</v>
      </c>
      <c r="C82" s="111"/>
      <c r="D82" s="88"/>
      <c r="E82" s="86">
        <f t="shared" si="3"/>
        <v>0</v>
      </c>
    </row>
    <row r="83" spans="1:5" ht="135" x14ac:dyDescent="0.25">
      <c r="A83" s="115" t="s">
        <v>123</v>
      </c>
      <c r="B83" s="110" t="s">
        <v>343</v>
      </c>
      <c r="C83" s="111"/>
      <c r="D83" s="88"/>
      <c r="E83" s="86">
        <f t="shared" si="3"/>
        <v>0</v>
      </c>
    </row>
    <row r="84" spans="1:5" ht="45" x14ac:dyDescent="0.25">
      <c r="A84" s="115" t="s">
        <v>123</v>
      </c>
      <c r="B84" s="110" t="s">
        <v>344</v>
      </c>
      <c r="C84" s="121"/>
      <c r="D84" s="88"/>
      <c r="E84" s="86">
        <f t="shared" si="3"/>
        <v>0</v>
      </c>
    </row>
    <row r="85" spans="1:5" ht="30" x14ac:dyDescent="0.25">
      <c r="A85" s="115" t="s">
        <v>189</v>
      </c>
      <c r="B85" s="113" t="s">
        <v>345</v>
      </c>
      <c r="C85" s="121"/>
      <c r="D85" s="88"/>
      <c r="E85" s="86">
        <f t="shared" si="3"/>
        <v>0</v>
      </c>
    </row>
    <row r="86" spans="1:5" x14ac:dyDescent="0.25">
      <c r="A86" s="115" t="s">
        <v>189</v>
      </c>
      <c r="B86" s="113" t="s">
        <v>346</v>
      </c>
      <c r="C86" s="121"/>
      <c r="D86" s="90"/>
      <c r="E86" s="86">
        <f t="shared" si="3"/>
        <v>0</v>
      </c>
    </row>
    <row r="87" spans="1:5" ht="30" x14ac:dyDescent="0.25">
      <c r="A87" s="115" t="s">
        <v>123</v>
      </c>
      <c r="B87" s="110" t="s">
        <v>347</v>
      </c>
      <c r="C87" s="111"/>
      <c r="D87" s="90"/>
      <c r="E87" s="86">
        <f t="shared" si="3"/>
        <v>0</v>
      </c>
    </row>
    <row r="88" spans="1:5" ht="45" x14ac:dyDescent="0.25">
      <c r="A88" s="115" t="s">
        <v>123</v>
      </c>
      <c r="B88" s="110" t="s">
        <v>348</v>
      </c>
      <c r="C88" s="121">
        <f>+C89+C90</f>
        <v>0</v>
      </c>
      <c r="D88" s="90"/>
      <c r="E88" s="86">
        <f t="shared" si="3"/>
        <v>0</v>
      </c>
    </row>
    <row r="89" spans="1:5" x14ac:dyDescent="0.25">
      <c r="A89" s="115" t="s">
        <v>189</v>
      </c>
      <c r="B89" s="113" t="s">
        <v>349</v>
      </c>
      <c r="C89" s="121"/>
      <c r="D89" s="88"/>
      <c r="E89" s="86">
        <f t="shared" si="3"/>
        <v>0</v>
      </c>
    </row>
    <row r="90" spans="1:5" x14ac:dyDescent="0.25">
      <c r="A90" s="115" t="s">
        <v>189</v>
      </c>
      <c r="B90" s="113" t="s">
        <v>350</v>
      </c>
      <c r="C90" s="121">
        <v>0</v>
      </c>
      <c r="D90" s="90"/>
      <c r="E90" s="86">
        <f t="shared" si="3"/>
        <v>0</v>
      </c>
    </row>
    <row r="91" spans="1:5" ht="45" x14ac:dyDescent="0.25">
      <c r="A91" s="115" t="s">
        <v>123</v>
      </c>
      <c r="B91" s="110" t="s">
        <v>351</v>
      </c>
      <c r="C91" s="111"/>
      <c r="D91" s="90"/>
      <c r="E91" s="86">
        <f t="shared" si="3"/>
        <v>0</v>
      </c>
    </row>
    <row r="92" spans="1:5" x14ac:dyDescent="0.25">
      <c r="A92" s="85">
        <v>12</v>
      </c>
      <c r="B92" s="102" t="s">
        <v>352</v>
      </c>
      <c r="C92" s="103">
        <v>0</v>
      </c>
      <c r="D92" s="90"/>
      <c r="E92" s="86">
        <f t="shared" si="3"/>
        <v>0</v>
      </c>
    </row>
    <row r="93" spans="1:5" x14ac:dyDescent="0.25">
      <c r="A93" s="85" t="s">
        <v>353</v>
      </c>
      <c r="B93" s="102" t="s">
        <v>354</v>
      </c>
      <c r="C93" s="103">
        <f>+C94+C95+C96</f>
        <v>0</v>
      </c>
      <c r="D93" s="88"/>
      <c r="E93" s="86">
        <f t="shared" si="3"/>
        <v>0</v>
      </c>
    </row>
    <row r="94" spans="1:5" x14ac:dyDescent="0.25">
      <c r="A94" s="115" t="s">
        <v>123</v>
      </c>
      <c r="B94" s="110" t="s">
        <v>355</v>
      </c>
      <c r="C94" s="111"/>
      <c r="D94" s="86"/>
      <c r="E94" s="86">
        <f t="shared" si="3"/>
        <v>0</v>
      </c>
    </row>
    <row r="95" spans="1:5" x14ac:dyDescent="0.25">
      <c r="A95" s="115" t="s">
        <v>123</v>
      </c>
      <c r="B95" s="110" t="s">
        <v>356</v>
      </c>
      <c r="C95" s="111"/>
      <c r="D95" s="86"/>
      <c r="E95" s="86">
        <f t="shared" si="3"/>
        <v>0</v>
      </c>
    </row>
    <row r="96" spans="1:5" ht="30" x14ac:dyDescent="0.25">
      <c r="A96" s="115" t="s">
        <v>123</v>
      </c>
      <c r="B96" s="110" t="s">
        <v>357</v>
      </c>
      <c r="C96" s="111"/>
      <c r="D96" s="88"/>
      <c r="E96" s="86">
        <f t="shared" si="3"/>
        <v>0</v>
      </c>
    </row>
    <row r="97" spans="1:5" x14ac:dyDescent="0.25">
      <c r="A97" s="85" t="s">
        <v>358</v>
      </c>
      <c r="B97" s="102" t="s">
        <v>359</v>
      </c>
      <c r="C97" s="111"/>
      <c r="D97" s="88"/>
      <c r="E97" s="86">
        <f t="shared" si="3"/>
        <v>0</v>
      </c>
    </row>
    <row r="98" spans="1:5" ht="28.5" x14ac:dyDescent="0.25">
      <c r="A98" s="85">
        <v>13</v>
      </c>
      <c r="B98" s="102" t="s">
        <v>360</v>
      </c>
      <c r="C98" s="111">
        <f>+C99+C100</f>
        <v>0</v>
      </c>
      <c r="D98" s="88"/>
      <c r="E98" s="86">
        <f t="shared" si="3"/>
        <v>0</v>
      </c>
    </row>
    <row r="99" spans="1:5" x14ac:dyDescent="0.25">
      <c r="A99" s="115" t="s">
        <v>123</v>
      </c>
      <c r="B99" s="120" t="s">
        <v>361</v>
      </c>
      <c r="C99" s="111"/>
      <c r="D99" s="88"/>
      <c r="E99" s="86">
        <f t="shared" si="3"/>
        <v>0</v>
      </c>
    </row>
    <row r="100" spans="1:5" x14ac:dyDescent="0.25">
      <c r="A100" s="115" t="s">
        <v>123</v>
      </c>
      <c r="B100" s="110" t="s">
        <v>362</v>
      </c>
      <c r="C100" s="111"/>
      <c r="D100" s="88"/>
      <c r="E100" s="86">
        <f t="shared" si="3"/>
        <v>0</v>
      </c>
    </row>
    <row r="101" spans="1:5" ht="28.5" x14ac:dyDescent="0.25">
      <c r="A101" s="85">
        <v>14</v>
      </c>
      <c r="B101" s="122" t="s">
        <v>363</v>
      </c>
      <c r="C101" s="111"/>
      <c r="D101" s="88"/>
      <c r="E101" s="86">
        <f t="shared" si="3"/>
        <v>0</v>
      </c>
    </row>
    <row r="102" spans="1:5" ht="99.75" x14ac:dyDescent="0.25">
      <c r="A102" s="85">
        <v>15</v>
      </c>
      <c r="B102" s="122" t="s">
        <v>364</v>
      </c>
      <c r="C102" s="111"/>
      <c r="D102" s="88"/>
      <c r="E102" s="86">
        <f t="shared" si="3"/>
        <v>0</v>
      </c>
    </row>
    <row r="103" spans="1:5" x14ac:dyDescent="0.25">
      <c r="A103" s="85">
        <v>16</v>
      </c>
      <c r="B103" s="102" t="s">
        <v>365</v>
      </c>
      <c r="C103" s="111"/>
      <c r="D103" s="88"/>
      <c r="E103" s="86">
        <f t="shared" si="3"/>
        <v>0</v>
      </c>
    </row>
    <row r="104" spans="1:5" ht="42.75" x14ac:dyDescent="0.25">
      <c r="A104" s="85">
        <v>17</v>
      </c>
      <c r="B104" s="122" t="s">
        <v>366</v>
      </c>
      <c r="C104" s="103">
        <f>+C105+C106</f>
        <v>0</v>
      </c>
      <c r="D104" s="88"/>
      <c r="E104" s="86">
        <f t="shared" si="3"/>
        <v>0</v>
      </c>
    </row>
    <row r="105" spans="1:5" x14ac:dyDescent="0.25">
      <c r="A105" s="115" t="s">
        <v>123</v>
      </c>
      <c r="B105" s="110" t="s">
        <v>367</v>
      </c>
      <c r="C105" s="111"/>
      <c r="D105" s="88"/>
      <c r="E105" s="86">
        <f t="shared" si="3"/>
        <v>0</v>
      </c>
    </row>
    <row r="106" spans="1:5" x14ac:dyDescent="0.25">
      <c r="A106" s="115" t="s">
        <v>123</v>
      </c>
      <c r="B106" s="110" t="s">
        <v>368</v>
      </c>
      <c r="C106" s="111"/>
      <c r="D106" s="88"/>
      <c r="E106" s="86">
        <f t="shared" si="3"/>
        <v>0</v>
      </c>
    </row>
    <row r="107" spans="1:5" ht="42.75" x14ac:dyDescent="0.25">
      <c r="A107" s="85">
        <v>19</v>
      </c>
      <c r="B107" s="122" t="s">
        <v>369</v>
      </c>
      <c r="C107" s="111"/>
      <c r="D107" s="86"/>
      <c r="E107" s="86">
        <f t="shared" si="3"/>
        <v>0</v>
      </c>
    </row>
    <row r="108" spans="1:5" x14ac:dyDescent="0.25">
      <c r="A108" s="85">
        <v>20</v>
      </c>
      <c r="B108" s="122" t="s">
        <v>370</v>
      </c>
      <c r="C108" s="111"/>
      <c r="D108" s="88"/>
      <c r="E108" s="86">
        <f t="shared" si="3"/>
        <v>0</v>
      </c>
    </row>
    <row r="109" spans="1:5" ht="42.75" x14ac:dyDescent="0.25">
      <c r="A109" s="85">
        <v>21</v>
      </c>
      <c r="B109" s="122" t="s">
        <v>371</v>
      </c>
      <c r="C109" s="103">
        <f>+C112+C113+C114</f>
        <v>0</v>
      </c>
      <c r="D109" s="88"/>
      <c r="E109" s="86">
        <f t="shared" si="3"/>
        <v>0</v>
      </c>
    </row>
    <row r="110" spans="1:5" x14ac:dyDescent="0.25">
      <c r="A110" s="85"/>
      <c r="B110" s="113" t="s">
        <v>372</v>
      </c>
      <c r="C110" s="121"/>
      <c r="D110" s="88"/>
      <c r="E110" s="86">
        <f t="shared" si="3"/>
        <v>0</v>
      </c>
    </row>
    <row r="111" spans="1:5" x14ac:dyDescent="0.25">
      <c r="A111" s="85"/>
      <c r="B111" s="113" t="s">
        <v>373</v>
      </c>
      <c r="C111" s="121"/>
      <c r="D111" s="88"/>
      <c r="E111" s="86">
        <f t="shared" si="3"/>
        <v>0</v>
      </c>
    </row>
    <row r="112" spans="1:5" x14ac:dyDescent="0.25">
      <c r="A112" s="115" t="s">
        <v>123</v>
      </c>
      <c r="B112" s="123" t="s">
        <v>374</v>
      </c>
      <c r="C112" s="111"/>
      <c r="D112" s="86"/>
      <c r="E112" s="86">
        <f t="shared" si="3"/>
        <v>0</v>
      </c>
    </row>
    <row r="113" spans="1:7" ht="30" x14ac:dyDescent="0.25">
      <c r="A113" s="115" t="s">
        <v>123</v>
      </c>
      <c r="B113" s="110" t="s">
        <v>375</v>
      </c>
      <c r="C113" s="111"/>
      <c r="D113" s="90"/>
      <c r="E113" s="86">
        <f t="shared" si="3"/>
        <v>0</v>
      </c>
    </row>
    <row r="114" spans="1:7" x14ac:dyDescent="0.25">
      <c r="A114" s="115" t="s">
        <v>123</v>
      </c>
      <c r="B114" s="110" t="s">
        <v>396</v>
      </c>
      <c r="C114" s="111">
        <v>0</v>
      </c>
      <c r="D114" s="90"/>
      <c r="E114" s="86">
        <f t="shared" si="3"/>
        <v>0</v>
      </c>
    </row>
    <row r="115" spans="1:7" x14ac:dyDescent="0.25">
      <c r="A115" s="85" t="s">
        <v>3</v>
      </c>
      <c r="B115" s="102" t="s">
        <v>376</v>
      </c>
      <c r="C115" s="111"/>
      <c r="D115" s="88"/>
      <c r="E115" s="86">
        <f t="shared" si="3"/>
        <v>0</v>
      </c>
    </row>
    <row r="116" spans="1:7" x14ac:dyDescent="0.25">
      <c r="A116" s="104" t="s">
        <v>159</v>
      </c>
      <c r="B116" s="124" t="s">
        <v>377</v>
      </c>
      <c r="C116" s="125">
        <f>C117+C121+C124+C129+C130</f>
        <v>166776.4</v>
      </c>
      <c r="D116" s="125">
        <f t="shared" ref="D116" si="4">D117+D121+D124+D129+D130</f>
        <v>78369.257000000012</v>
      </c>
      <c r="E116" s="125">
        <f>E117+E121+E124+E129+E130</f>
        <v>245145.65700000001</v>
      </c>
      <c r="F116" s="125">
        <v>241269.6</v>
      </c>
      <c r="G116" s="221">
        <f>+F116-E116</f>
        <v>-3876.0570000000007</v>
      </c>
    </row>
    <row r="117" spans="1:7" x14ac:dyDescent="0.25">
      <c r="A117" s="104" t="s">
        <v>378</v>
      </c>
      <c r="B117" s="122" t="s">
        <v>379</v>
      </c>
      <c r="C117" s="103">
        <f>C118</f>
        <v>762</v>
      </c>
      <c r="D117" s="88"/>
      <c r="E117" s="86">
        <f>+E118</f>
        <v>762</v>
      </c>
      <c r="F117">
        <v>244623.3</v>
      </c>
    </row>
    <row r="118" spans="1:7" x14ac:dyDescent="0.25">
      <c r="A118" s="126">
        <v>1</v>
      </c>
      <c r="B118" s="110" t="s">
        <v>397</v>
      </c>
      <c r="C118" s="111">
        <v>762</v>
      </c>
      <c r="D118" s="88"/>
      <c r="E118" s="88">
        <v>762</v>
      </c>
      <c r="F118" s="221">
        <f>+F117-E116</f>
        <v>-522.35700000001816</v>
      </c>
    </row>
    <row r="119" spans="1:7" x14ac:dyDescent="0.25">
      <c r="A119" s="127"/>
      <c r="B119" s="128" t="s">
        <v>380</v>
      </c>
      <c r="C119" s="121"/>
      <c r="D119" s="133"/>
      <c r="E119" s="88">
        <f t="shared" si="3"/>
        <v>0</v>
      </c>
    </row>
    <row r="120" spans="1:7" x14ac:dyDescent="0.25">
      <c r="A120" s="126">
        <v>2</v>
      </c>
      <c r="B120" s="110" t="s">
        <v>398</v>
      </c>
      <c r="C120" s="111"/>
      <c r="D120" s="88"/>
      <c r="E120" s="88">
        <f t="shared" si="3"/>
        <v>0</v>
      </c>
    </row>
    <row r="121" spans="1:7" x14ac:dyDescent="0.25">
      <c r="A121" s="104" t="s">
        <v>3</v>
      </c>
      <c r="B121" s="122" t="s">
        <v>381</v>
      </c>
      <c r="C121" s="103">
        <f>+C122+C123</f>
        <v>0</v>
      </c>
      <c r="D121" s="88"/>
      <c r="E121" s="86">
        <f t="shared" si="3"/>
        <v>0</v>
      </c>
    </row>
    <row r="122" spans="1:7" x14ac:dyDescent="0.25">
      <c r="A122" s="129">
        <v>1</v>
      </c>
      <c r="B122" s="110" t="s">
        <v>399</v>
      </c>
      <c r="C122" s="111">
        <v>0</v>
      </c>
      <c r="D122" s="90"/>
      <c r="E122" s="86">
        <f t="shared" si="3"/>
        <v>0</v>
      </c>
    </row>
    <row r="123" spans="1:7" ht="30" x14ac:dyDescent="0.25">
      <c r="A123" s="129">
        <v>2</v>
      </c>
      <c r="B123" s="110" t="s">
        <v>400</v>
      </c>
      <c r="C123" s="111"/>
      <c r="D123" s="88"/>
      <c r="E123" s="86">
        <f t="shared" si="3"/>
        <v>0</v>
      </c>
    </row>
    <row r="124" spans="1:7" x14ac:dyDescent="0.25">
      <c r="A124" s="104" t="s">
        <v>4</v>
      </c>
      <c r="B124" s="75" t="s">
        <v>384</v>
      </c>
      <c r="C124" s="130">
        <f>+C125+C126</f>
        <v>166014.39999999999</v>
      </c>
      <c r="D124" s="130">
        <f t="shared" ref="D124" si="5">+D125+D126</f>
        <v>38735.557000000015</v>
      </c>
      <c r="E124" s="130">
        <f>+E125+E126</f>
        <v>204749.95699999999</v>
      </c>
      <c r="G124" s="221">
        <f>+E116-E117-E121</f>
        <v>244383.65700000001</v>
      </c>
    </row>
    <row r="125" spans="1:7" x14ac:dyDescent="0.25">
      <c r="A125" s="131">
        <v>1</v>
      </c>
      <c r="B125" s="132" t="s">
        <v>385</v>
      </c>
      <c r="C125" s="111">
        <v>148495.6</v>
      </c>
      <c r="D125" s="88">
        <f>1199.23+33.2</f>
        <v>1232.43</v>
      </c>
      <c r="E125" s="88">
        <f>+C125+D125</f>
        <v>149728.03</v>
      </c>
    </row>
    <row r="126" spans="1:7" x14ac:dyDescent="0.25">
      <c r="A126" s="131">
        <v>2</v>
      </c>
      <c r="B126" s="132" t="s">
        <v>386</v>
      </c>
      <c r="C126" s="111">
        <v>17518.8</v>
      </c>
      <c r="D126" s="88">
        <f>173.066+2.4+462.5+21.1+293.6+30+2.835+16400+16168+38.8+1818.8+20+57.9+132.45+399.3+1550-1199.23-33.2+642.163+52.243+470.4</f>
        <v>37503.127000000015</v>
      </c>
      <c r="E126" s="88">
        <f>+C126+D126</f>
        <v>55021.927000000011</v>
      </c>
    </row>
    <row r="127" spans="1:7" hidden="1" x14ac:dyDescent="0.25">
      <c r="A127" s="91" t="s">
        <v>123</v>
      </c>
      <c r="B127" s="92" t="s">
        <v>382</v>
      </c>
      <c r="C127" s="90">
        <v>0</v>
      </c>
      <c r="D127" s="90">
        <v>0</v>
      </c>
      <c r="E127" s="88">
        <f t="shared" si="3"/>
        <v>0</v>
      </c>
    </row>
    <row r="128" spans="1:7" hidden="1" x14ac:dyDescent="0.25">
      <c r="A128" s="91" t="s">
        <v>123</v>
      </c>
      <c r="B128" s="92" t="s">
        <v>383</v>
      </c>
      <c r="C128" s="90"/>
      <c r="D128" s="90">
        <v>0</v>
      </c>
      <c r="E128" s="88">
        <f t="shared" si="3"/>
        <v>0</v>
      </c>
    </row>
    <row r="129" spans="1:5" ht="16.5" x14ac:dyDescent="0.25">
      <c r="A129" s="89" t="s">
        <v>5</v>
      </c>
      <c r="B129" s="93" t="s">
        <v>387</v>
      </c>
      <c r="C129" s="86">
        <v>0</v>
      </c>
      <c r="D129" s="86">
        <v>39633.699999999997</v>
      </c>
      <c r="E129" s="86">
        <f>+C129+D129</f>
        <v>39633.699999999997</v>
      </c>
    </row>
    <row r="130" spans="1:5" ht="16.5" x14ac:dyDescent="0.25">
      <c r="A130" s="89" t="s">
        <v>6</v>
      </c>
      <c r="B130" s="93" t="s">
        <v>388</v>
      </c>
      <c r="C130" s="86">
        <v>0</v>
      </c>
      <c r="D130" s="86">
        <v>0</v>
      </c>
      <c r="E130" s="86">
        <f t="shared" ref="E130" si="6">+C130</f>
        <v>0</v>
      </c>
    </row>
  </sheetData>
  <mergeCells count="11">
    <mergeCell ref="A7:A8"/>
    <mergeCell ref="B7:B8"/>
    <mergeCell ref="C7:C8"/>
    <mergeCell ref="D7:D8"/>
    <mergeCell ref="E7:E8"/>
    <mergeCell ref="D6:E6"/>
    <mergeCell ref="A1:E1"/>
    <mergeCell ref="A2:E2"/>
    <mergeCell ref="A3:E3"/>
    <mergeCell ref="A4:E4"/>
    <mergeCell ref="A5:E5"/>
  </mergeCells>
  <hyperlinks>
    <hyperlink ref="A77" r:id="rId1" display="http://thuvienphapluat.vn/phap-luat/tim-van-ban.aspx?keyword=102/2009/Q%C4%90-TTg&amp;area=2&amp;type=0&amp;match=False&amp;vc=True&amp;lan=1" xr:uid="{F2EF9D31-7B66-420C-8E6A-B441A3D6A263}"/>
  </hyperlinks>
  <pageMargins left="0.7" right="0.7" top="0.59" bottom="0.42" header="0.3" footer="0.3"/>
  <pageSetup paperSize="9" scale="83" orientation="portrait" verticalDpi="0"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U306"/>
  <sheetViews>
    <sheetView topLeftCell="A2" zoomScale="115" zoomScaleNormal="115" workbookViewId="0">
      <pane xSplit="4" ySplit="7" topLeftCell="E180" activePane="bottomRight" state="frozen"/>
      <selection activeCell="A2" sqref="A2"/>
      <selection pane="topRight" activeCell="E2" sqref="E2"/>
      <selection pane="bottomLeft" activeCell="A9" sqref="A9"/>
      <selection pane="bottomRight" activeCell="A198" sqref="A198:XFD198"/>
    </sheetView>
  </sheetViews>
  <sheetFormatPr defaultColWidth="8.25" defaultRowHeight="18.75" x14ac:dyDescent="0.25"/>
  <cols>
    <col min="1" max="1" width="8.25" style="4"/>
    <col min="2" max="2" width="35.5" style="4" bestFit="1" customWidth="1"/>
    <col min="3" max="5" width="12.875" style="5" customWidth="1"/>
    <col min="6" max="6" width="13.375" style="4" customWidth="1"/>
    <col min="7" max="7" width="11.875" style="4" customWidth="1"/>
    <col min="8" max="8" width="9.875" style="4" customWidth="1"/>
    <col min="9" max="9" width="14" style="4" customWidth="1"/>
    <col min="10" max="10" width="11.25" style="4" customWidth="1"/>
    <col min="11" max="11" width="11.375" style="4" customWidth="1"/>
    <col min="12" max="13" width="14" style="4" customWidth="1"/>
    <col min="14" max="16" width="9.5" style="4" customWidth="1"/>
    <col min="17" max="19" width="11.875" style="4" customWidth="1"/>
    <col min="20" max="20" width="25.375" style="4" bestFit="1" customWidth="1"/>
    <col min="21" max="52" width="8.25" style="4"/>
    <col min="53" max="64" width="0" style="4" hidden="1" customWidth="1"/>
    <col min="65" max="74" width="8.25" style="4"/>
    <col min="75" max="121" width="0" style="4" hidden="1" customWidth="1"/>
    <col min="122" max="126" width="8.25" style="4"/>
    <col min="127" max="159" width="0" style="4" hidden="1" customWidth="1"/>
    <col min="160" max="166" width="8.25" style="4"/>
    <col min="167" max="178" width="0" style="4" hidden="1" customWidth="1"/>
    <col min="179" max="16384" width="8.25" style="4"/>
  </cols>
  <sheetData>
    <row r="1" spans="1:20" s="2" customFormat="1" x14ac:dyDescent="0.25">
      <c r="A1" s="503" t="s">
        <v>19</v>
      </c>
      <c r="B1" s="503"/>
      <c r="C1" s="503"/>
      <c r="D1" s="503"/>
      <c r="E1" s="503"/>
      <c r="F1" s="503"/>
      <c r="G1" s="503"/>
      <c r="H1" s="503"/>
      <c r="I1" s="503"/>
      <c r="J1" s="503"/>
      <c r="K1" s="503"/>
      <c r="L1" s="503"/>
      <c r="M1" s="503"/>
      <c r="N1" s="503"/>
      <c r="O1" s="503"/>
      <c r="P1" s="503"/>
      <c r="Q1" s="503"/>
      <c r="R1" s="503"/>
      <c r="S1" s="503"/>
    </row>
    <row r="2" spans="1:20" s="2" customFormat="1" x14ac:dyDescent="0.25">
      <c r="A2" s="1"/>
      <c r="B2" s="1"/>
      <c r="C2" s="3"/>
      <c r="D2" s="3"/>
      <c r="E2" s="3"/>
      <c r="F2" s="1"/>
      <c r="G2" s="1"/>
      <c r="H2" s="1"/>
      <c r="I2" s="1"/>
      <c r="J2" s="1"/>
      <c r="K2" s="1"/>
      <c r="L2" s="1"/>
      <c r="M2" s="1"/>
      <c r="N2" s="1"/>
      <c r="O2" s="1"/>
      <c r="P2" s="1"/>
      <c r="Q2" s="1"/>
      <c r="R2" s="1"/>
      <c r="S2" s="1"/>
      <c r="T2" s="1"/>
    </row>
    <row r="3" spans="1:20" x14ac:dyDescent="0.25">
      <c r="Q3" s="504" t="s">
        <v>0</v>
      </c>
      <c r="R3" s="504"/>
      <c r="S3" s="504"/>
    </row>
    <row r="4" spans="1:20" s="2" customFormat="1" x14ac:dyDescent="0.25">
      <c r="A4" s="495" t="s">
        <v>1</v>
      </c>
      <c r="B4" s="495" t="s">
        <v>20</v>
      </c>
      <c r="C4" s="495" t="s">
        <v>21</v>
      </c>
      <c r="D4" s="495"/>
      <c r="E4" s="495"/>
      <c r="F4" s="495" t="s">
        <v>22</v>
      </c>
      <c r="G4" s="495"/>
      <c r="H4" s="495"/>
      <c r="I4" s="495"/>
      <c r="J4" s="497" t="s">
        <v>23</v>
      </c>
      <c r="K4" s="498"/>
      <c r="L4" s="498"/>
      <c r="M4" s="499"/>
      <c r="N4" s="495" t="s">
        <v>24</v>
      </c>
      <c r="O4" s="495"/>
      <c r="P4" s="495"/>
      <c r="Q4" s="495" t="s">
        <v>25</v>
      </c>
      <c r="R4" s="495"/>
      <c r="S4" s="495"/>
      <c r="T4" s="495" t="s">
        <v>26</v>
      </c>
    </row>
    <row r="5" spans="1:20" s="2" customFormat="1" x14ac:dyDescent="0.25">
      <c r="A5" s="495"/>
      <c r="B5" s="495"/>
      <c r="C5" s="496" t="s">
        <v>27</v>
      </c>
      <c r="D5" s="496" t="s">
        <v>28</v>
      </c>
      <c r="E5" s="496"/>
      <c r="F5" s="495" t="s">
        <v>27</v>
      </c>
      <c r="G5" s="497" t="s">
        <v>28</v>
      </c>
      <c r="H5" s="498"/>
      <c r="I5" s="499"/>
      <c r="J5" s="496" t="s">
        <v>27</v>
      </c>
      <c r="K5" s="500" t="s">
        <v>28</v>
      </c>
      <c r="L5" s="501"/>
      <c r="M5" s="502"/>
      <c r="N5" s="495" t="s">
        <v>27</v>
      </c>
      <c r="O5" s="495" t="s">
        <v>28</v>
      </c>
      <c r="P5" s="495"/>
      <c r="Q5" s="495" t="s">
        <v>27</v>
      </c>
      <c r="R5" s="495" t="s">
        <v>28</v>
      </c>
      <c r="S5" s="495"/>
      <c r="T5" s="495"/>
    </row>
    <row r="6" spans="1:20" s="2" customFormat="1" ht="56.25" x14ac:dyDescent="0.25">
      <c r="A6" s="495"/>
      <c r="B6" s="495"/>
      <c r="C6" s="496"/>
      <c r="D6" s="7" t="s">
        <v>29</v>
      </c>
      <c r="E6" s="7" t="s">
        <v>30</v>
      </c>
      <c r="F6" s="495"/>
      <c r="G6" s="6" t="s">
        <v>31</v>
      </c>
      <c r="H6" s="7" t="s">
        <v>29</v>
      </c>
      <c r="I6" s="6" t="s">
        <v>30</v>
      </c>
      <c r="J6" s="496"/>
      <c r="K6" s="6" t="s">
        <v>31</v>
      </c>
      <c r="L6" s="7" t="s">
        <v>29</v>
      </c>
      <c r="M6" s="7" t="s">
        <v>30</v>
      </c>
      <c r="N6" s="495"/>
      <c r="O6" s="6" t="s">
        <v>31</v>
      </c>
      <c r="P6" s="6" t="s">
        <v>30</v>
      </c>
      <c r="Q6" s="495"/>
      <c r="R6" s="6" t="s">
        <v>31</v>
      </c>
      <c r="S6" s="6" t="s">
        <v>30</v>
      </c>
      <c r="T6" s="495"/>
    </row>
    <row r="7" spans="1:20" s="2" customFormat="1" x14ac:dyDescent="0.25">
      <c r="A7" s="8"/>
      <c r="B7" s="9" t="s">
        <v>27</v>
      </c>
      <c r="C7" s="10">
        <f t="shared" ref="C7:S7" si="0">C8+C39+C70+C104+C140+C179+C212+C236+C278</f>
        <v>4336517.2646740004</v>
      </c>
      <c r="D7" s="10">
        <f t="shared" si="0"/>
        <v>3800770.150283</v>
      </c>
      <c r="E7" s="10">
        <f t="shared" si="0"/>
        <v>535747.11439100001</v>
      </c>
      <c r="F7" s="10">
        <f t="shared" si="0"/>
        <v>4303475.0398700004</v>
      </c>
      <c r="G7" s="10">
        <f t="shared" si="0"/>
        <v>11063</v>
      </c>
      <c r="H7" s="10">
        <f t="shared" si="0"/>
        <v>0</v>
      </c>
      <c r="I7" s="10">
        <f t="shared" si="0"/>
        <v>4292412.0398700004</v>
      </c>
      <c r="J7" s="10">
        <f t="shared" si="0"/>
        <v>-28099.37753499992</v>
      </c>
      <c r="K7" s="10">
        <f t="shared" si="0"/>
        <v>8811</v>
      </c>
      <c r="L7" s="10">
        <f t="shared" si="0"/>
        <v>-2722773.772686</v>
      </c>
      <c r="M7" s="10">
        <f t="shared" si="0"/>
        <v>2685863.395151</v>
      </c>
      <c r="N7" s="10">
        <f t="shared" si="0"/>
        <v>-0.4898290000292036</v>
      </c>
      <c r="O7" s="10">
        <f t="shared" si="0"/>
        <v>0</v>
      </c>
      <c r="P7" s="10">
        <f t="shared" si="0"/>
        <v>-0.4898290000292036</v>
      </c>
      <c r="Q7" s="10">
        <f t="shared" si="0"/>
        <v>985264.62034200004</v>
      </c>
      <c r="R7" s="10">
        <f t="shared" si="0"/>
        <v>2178</v>
      </c>
      <c r="S7" s="10">
        <f t="shared" si="0"/>
        <v>983086.62034200004</v>
      </c>
      <c r="T7" s="10"/>
    </row>
    <row r="8" spans="1:20" s="16" customFormat="1" ht="30" x14ac:dyDescent="0.25">
      <c r="A8" s="11" t="s">
        <v>2</v>
      </c>
      <c r="B8" s="12" t="s">
        <v>32</v>
      </c>
      <c r="C8" s="13">
        <v>571627</v>
      </c>
      <c r="D8" s="13">
        <v>513121</v>
      </c>
      <c r="E8" s="13">
        <v>58506</v>
      </c>
      <c r="F8" s="14">
        <f>F34</f>
        <v>534118.68616500008</v>
      </c>
      <c r="G8" s="14">
        <f>G34</f>
        <v>0</v>
      </c>
      <c r="H8" s="14"/>
      <c r="I8" s="14">
        <f>I34</f>
        <v>534118.68616500008</v>
      </c>
      <c r="J8" s="14">
        <f>F8-C8</f>
        <v>-37508.313834999921</v>
      </c>
      <c r="K8" s="14">
        <f>G8</f>
        <v>0</v>
      </c>
      <c r="L8" s="14">
        <f>H8-D8</f>
        <v>-513121</v>
      </c>
      <c r="M8" s="14">
        <f>I8-E8</f>
        <v>475612.68616500008</v>
      </c>
      <c r="N8" s="14"/>
      <c r="O8" s="12"/>
      <c r="P8" s="12"/>
      <c r="Q8" s="12"/>
      <c r="R8" s="12"/>
      <c r="S8" s="12"/>
      <c r="T8" s="15" t="s">
        <v>33</v>
      </c>
    </row>
    <row r="9" spans="1:20" s="2" customFormat="1" ht="30" x14ac:dyDescent="0.25">
      <c r="A9" s="17">
        <v>1</v>
      </c>
      <c r="B9" s="18" t="s">
        <v>34</v>
      </c>
      <c r="C9" s="19"/>
      <c r="D9" s="19"/>
      <c r="E9" s="19"/>
      <c r="F9" s="47"/>
      <c r="G9" s="18"/>
      <c r="H9" s="18"/>
      <c r="I9" s="18"/>
      <c r="J9" s="18"/>
      <c r="K9" s="18"/>
      <c r="L9" s="18"/>
      <c r="M9" s="18"/>
      <c r="N9" s="18"/>
      <c r="O9" s="18"/>
      <c r="P9" s="18"/>
      <c r="Q9" s="18"/>
      <c r="R9" s="18"/>
      <c r="S9" s="18"/>
      <c r="T9" s="20" t="s">
        <v>35</v>
      </c>
    </row>
    <row r="10" spans="1:20" x14ac:dyDescent="0.25">
      <c r="A10" s="21" t="s">
        <v>12</v>
      </c>
      <c r="B10" s="22" t="s">
        <v>36</v>
      </c>
      <c r="C10" s="23"/>
      <c r="D10" s="23"/>
      <c r="E10" s="23"/>
      <c r="F10" s="22"/>
      <c r="G10" s="22"/>
      <c r="H10" s="22"/>
      <c r="I10" s="22"/>
      <c r="J10" s="22"/>
      <c r="K10" s="22"/>
      <c r="L10" s="22"/>
      <c r="M10" s="22"/>
      <c r="N10" s="22"/>
      <c r="O10" s="22"/>
      <c r="P10" s="22"/>
      <c r="Q10" s="22"/>
      <c r="R10" s="22"/>
      <c r="S10" s="22"/>
      <c r="T10" s="24"/>
    </row>
    <row r="11" spans="1:20" s="29" customFormat="1" x14ac:dyDescent="0.25">
      <c r="A11" s="25"/>
      <c r="B11" s="26" t="s">
        <v>37</v>
      </c>
      <c r="C11" s="27"/>
      <c r="D11" s="27"/>
      <c r="E11" s="27"/>
      <c r="F11" s="26"/>
      <c r="G11" s="26"/>
      <c r="H11" s="26"/>
      <c r="I11" s="26"/>
      <c r="J11" s="26"/>
      <c r="K11" s="26"/>
      <c r="L11" s="26"/>
      <c r="M11" s="26"/>
      <c r="N11" s="26"/>
      <c r="O11" s="26"/>
      <c r="P11" s="26"/>
      <c r="Q11" s="26"/>
      <c r="R11" s="26"/>
      <c r="S11" s="26"/>
      <c r="T11" s="28"/>
    </row>
    <row r="12" spans="1:20" s="29" customFormat="1" x14ac:dyDescent="0.25">
      <c r="A12" s="25"/>
      <c r="B12" s="26" t="s">
        <v>37</v>
      </c>
      <c r="C12" s="27"/>
      <c r="D12" s="27"/>
      <c r="E12" s="27"/>
      <c r="F12" s="26"/>
      <c r="G12" s="26"/>
      <c r="H12" s="26"/>
      <c r="I12" s="26"/>
      <c r="J12" s="26"/>
      <c r="K12" s="26"/>
      <c r="L12" s="26"/>
      <c r="M12" s="26"/>
      <c r="N12" s="26"/>
      <c r="O12" s="26"/>
      <c r="P12" s="26"/>
      <c r="Q12" s="26"/>
      <c r="R12" s="26"/>
      <c r="S12" s="26"/>
      <c r="T12" s="28"/>
    </row>
    <row r="13" spans="1:20" s="29" customFormat="1" x14ac:dyDescent="0.25">
      <c r="A13" s="25"/>
      <c r="B13" s="26" t="s">
        <v>37</v>
      </c>
      <c r="C13" s="27"/>
      <c r="D13" s="27"/>
      <c r="E13" s="27"/>
      <c r="F13" s="26"/>
      <c r="G13" s="26"/>
      <c r="H13" s="26"/>
      <c r="I13" s="26"/>
      <c r="J13" s="26"/>
      <c r="K13" s="26"/>
      <c r="L13" s="26"/>
      <c r="M13" s="26"/>
      <c r="N13" s="26"/>
      <c r="O13" s="26"/>
      <c r="P13" s="26"/>
      <c r="Q13" s="26"/>
      <c r="R13" s="26"/>
      <c r="S13" s="26"/>
      <c r="T13" s="28"/>
    </row>
    <row r="14" spans="1:20" s="29" customFormat="1" x14ac:dyDescent="0.25">
      <c r="A14" s="25"/>
      <c r="B14" s="26" t="s">
        <v>37</v>
      </c>
      <c r="C14" s="27"/>
      <c r="D14" s="27"/>
      <c r="E14" s="27"/>
      <c r="F14" s="26"/>
      <c r="G14" s="26"/>
      <c r="H14" s="26"/>
      <c r="I14" s="26"/>
      <c r="J14" s="26"/>
      <c r="K14" s="26"/>
      <c r="L14" s="26"/>
      <c r="M14" s="26"/>
      <c r="N14" s="26"/>
      <c r="O14" s="26"/>
      <c r="P14" s="26"/>
      <c r="Q14" s="26"/>
      <c r="R14" s="26"/>
      <c r="S14" s="26"/>
      <c r="T14" s="28"/>
    </row>
    <row r="15" spans="1:20" x14ac:dyDescent="0.25">
      <c r="A15" s="21" t="s">
        <v>14</v>
      </c>
      <c r="B15" s="22" t="s">
        <v>38</v>
      </c>
      <c r="C15" s="23"/>
      <c r="D15" s="23"/>
      <c r="E15" s="23"/>
      <c r="F15" s="22"/>
      <c r="G15" s="22"/>
      <c r="H15" s="22"/>
      <c r="I15" s="22"/>
      <c r="J15" s="22"/>
      <c r="K15" s="22"/>
      <c r="L15" s="22"/>
      <c r="M15" s="22"/>
      <c r="N15" s="22"/>
      <c r="O15" s="22"/>
      <c r="P15" s="22"/>
      <c r="Q15" s="22"/>
      <c r="R15" s="22"/>
      <c r="S15" s="22"/>
      <c r="T15" s="24"/>
    </row>
    <row r="16" spans="1:20" s="29" customFormat="1" x14ac:dyDescent="0.25">
      <c r="A16" s="25"/>
      <c r="B16" s="30" t="s">
        <v>39</v>
      </c>
      <c r="C16" s="27"/>
      <c r="D16" s="27"/>
      <c r="E16" s="27"/>
      <c r="F16" s="26"/>
      <c r="G16" s="26"/>
      <c r="H16" s="26"/>
      <c r="I16" s="26"/>
      <c r="J16" s="26"/>
      <c r="K16" s="26"/>
      <c r="L16" s="26"/>
      <c r="M16" s="26"/>
      <c r="N16" s="26"/>
      <c r="O16" s="26"/>
      <c r="P16" s="26"/>
      <c r="Q16" s="26"/>
      <c r="R16" s="26"/>
      <c r="S16" s="26"/>
      <c r="T16" s="28"/>
    </row>
    <row r="17" spans="1:20" s="29" customFormat="1" x14ac:dyDescent="0.25">
      <c r="A17" s="25"/>
      <c r="B17" s="30" t="s">
        <v>40</v>
      </c>
      <c r="C17" s="27"/>
      <c r="D17" s="27"/>
      <c r="E17" s="27"/>
      <c r="F17" s="26"/>
      <c r="G17" s="26"/>
      <c r="H17" s="26"/>
      <c r="I17" s="26"/>
      <c r="J17" s="26"/>
      <c r="K17" s="26"/>
      <c r="L17" s="26"/>
      <c r="M17" s="26"/>
      <c r="N17" s="26"/>
      <c r="O17" s="26"/>
      <c r="P17" s="26"/>
      <c r="Q17" s="26"/>
      <c r="R17" s="26"/>
      <c r="S17" s="26"/>
      <c r="T17" s="28"/>
    </row>
    <row r="18" spans="1:20" s="29" customFormat="1" x14ac:dyDescent="0.25">
      <c r="A18" s="25"/>
      <c r="B18" s="30" t="s">
        <v>41</v>
      </c>
      <c r="C18" s="27"/>
      <c r="D18" s="27"/>
      <c r="E18" s="27"/>
      <c r="F18" s="26"/>
      <c r="G18" s="26"/>
      <c r="H18" s="26"/>
      <c r="I18" s="26"/>
      <c r="J18" s="26"/>
      <c r="K18" s="26"/>
      <c r="L18" s="26"/>
      <c r="M18" s="26"/>
      <c r="N18" s="26"/>
      <c r="O18" s="26"/>
      <c r="P18" s="26"/>
      <c r="Q18" s="26"/>
      <c r="R18" s="26"/>
      <c r="S18" s="26"/>
      <c r="T18" s="28"/>
    </row>
    <row r="19" spans="1:20" s="29" customFormat="1" x14ac:dyDescent="0.25">
      <c r="A19" s="25"/>
      <c r="B19" s="30" t="s">
        <v>42</v>
      </c>
      <c r="C19" s="27"/>
      <c r="D19" s="27"/>
      <c r="E19" s="27"/>
      <c r="F19" s="26"/>
      <c r="G19" s="26"/>
      <c r="H19" s="26"/>
      <c r="I19" s="26"/>
      <c r="J19" s="26"/>
      <c r="K19" s="26"/>
      <c r="L19" s="26"/>
      <c r="M19" s="26"/>
      <c r="N19" s="26"/>
      <c r="O19" s="26"/>
      <c r="P19" s="26"/>
      <c r="Q19" s="26"/>
      <c r="R19" s="26"/>
      <c r="S19" s="26"/>
      <c r="T19" s="28"/>
    </row>
    <row r="20" spans="1:20" x14ac:dyDescent="0.25">
      <c r="A20" s="21" t="s">
        <v>13</v>
      </c>
      <c r="B20" s="22" t="s">
        <v>43</v>
      </c>
      <c r="C20" s="23"/>
      <c r="D20" s="23"/>
      <c r="E20" s="23"/>
      <c r="F20" s="22"/>
      <c r="G20" s="22"/>
      <c r="H20" s="22"/>
      <c r="I20" s="22"/>
      <c r="J20" s="22"/>
      <c r="K20" s="22"/>
      <c r="L20" s="22"/>
      <c r="M20" s="22"/>
      <c r="N20" s="22"/>
      <c r="O20" s="22"/>
      <c r="P20" s="22"/>
      <c r="Q20" s="22"/>
      <c r="R20" s="22"/>
      <c r="S20" s="22"/>
      <c r="T20" s="24"/>
    </row>
    <row r="21" spans="1:20" s="29" customFormat="1" x14ac:dyDescent="0.25">
      <c r="A21" s="25"/>
      <c r="B21" s="26" t="s">
        <v>44</v>
      </c>
      <c r="C21" s="27"/>
      <c r="D21" s="27"/>
      <c r="E21" s="27"/>
      <c r="F21" s="26"/>
      <c r="G21" s="26"/>
      <c r="H21" s="26"/>
      <c r="I21" s="26"/>
      <c r="J21" s="26"/>
      <c r="K21" s="26"/>
      <c r="L21" s="26"/>
      <c r="M21" s="26"/>
      <c r="N21" s="26"/>
      <c r="O21" s="26"/>
      <c r="P21" s="26"/>
      <c r="Q21" s="26"/>
      <c r="R21" s="26"/>
      <c r="S21" s="26"/>
      <c r="T21" s="28"/>
    </row>
    <row r="22" spans="1:20" s="29" customFormat="1" x14ac:dyDescent="0.25">
      <c r="A22" s="25"/>
      <c r="B22" s="26" t="s">
        <v>44</v>
      </c>
      <c r="C22" s="27"/>
      <c r="D22" s="27"/>
      <c r="E22" s="27"/>
      <c r="F22" s="26"/>
      <c r="G22" s="26"/>
      <c r="H22" s="26"/>
      <c r="I22" s="26"/>
      <c r="J22" s="26"/>
      <c r="K22" s="26"/>
      <c r="L22" s="26"/>
      <c r="M22" s="26"/>
      <c r="N22" s="26"/>
      <c r="O22" s="26"/>
      <c r="P22" s="26"/>
      <c r="Q22" s="26"/>
      <c r="R22" s="26"/>
      <c r="S22" s="26"/>
      <c r="T22" s="28"/>
    </row>
    <row r="23" spans="1:20" s="2" customFormat="1" x14ac:dyDescent="0.25">
      <c r="A23" s="17">
        <v>2</v>
      </c>
      <c r="B23" s="18" t="s">
        <v>45</v>
      </c>
      <c r="C23" s="19"/>
      <c r="D23" s="19"/>
      <c r="E23" s="19"/>
      <c r="F23" s="18"/>
      <c r="G23" s="18"/>
      <c r="H23" s="18"/>
      <c r="I23" s="18"/>
      <c r="J23" s="18"/>
      <c r="K23" s="18"/>
      <c r="L23" s="18"/>
      <c r="M23" s="18"/>
      <c r="N23" s="18"/>
      <c r="O23" s="18"/>
      <c r="P23" s="18"/>
      <c r="Q23" s="18"/>
      <c r="R23" s="18"/>
      <c r="S23" s="18"/>
      <c r="T23" s="31"/>
    </row>
    <row r="24" spans="1:20" x14ac:dyDescent="0.25">
      <c r="A24" s="21" t="s">
        <v>15</v>
      </c>
      <c r="B24" s="22" t="s">
        <v>38</v>
      </c>
      <c r="C24" s="23"/>
      <c r="D24" s="23"/>
      <c r="E24" s="23"/>
      <c r="F24" s="22"/>
      <c r="G24" s="22"/>
      <c r="H24" s="22"/>
      <c r="I24" s="22"/>
      <c r="J24" s="22"/>
      <c r="K24" s="22"/>
      <c r="L24" s="22"/>
      <c r="M24" s="22"/>
      <c r="N24" s="22"/>
      <c r="O24" s="22"/>
      <c r="P24" s="22"/>
      <c r="Q24" s="22"/>
      <c r="R24" s="22"/>
      <c r="S24" s="22"/>
      <c r="T24" s="24"/>
    </row>
    <row r="25" spans="1:20" s="29" customFormat="1" x14ac:dyDescent="0.25">
      <c r="A25" s="25"/>
      <c r="B25" s="30" t="s">
        <v>39</v>
      </c>
      <c r="C25" s="27"/>
      <c r="D25" s="27"/>
      <c r="E25" s="27"/>
      <c r="F25" s="26"/>
      <c r="G25" s="26"/>
      <c r="H25" s="26"/>
      <c r="I25" s="26"/>
      <c r="J25" s="26"/>
      <c r="K25" s="26"/>
      <c r="L25" s="26"/>
      <c r="M25" s="26"/>
      <c r="N25" s="26"/>
      <c r="O25" s="26"/>
      <c r="P25" s="26"/>
      <c r="Q25" s="26"/>
      <c r="R25" s="26"/>
      <c r="S25" s="26"/>
      <c r="T25" s="28"/>
    </row>
    <row r="26" spans="1:20" s="29" customFormat="1" x14ac:dyDescent="0.25">
      <c r="A26" s="25"/>
      <c r="B26" s="30" t="s">
        <v>40</v>
      </c>
      <c r="C26" s="27"/>
      <c r="D26" s="27"/>
      <c r="E26" s="27"/>
      <c r="F26" s="26"/>
      <c r="G26" s="26"/>
      <c r="H26" s="26"/>
      <c r="I26" s="26"/>
      <c r="J26" s="26"/>
      <c r="K26" s="26"/>
      <c r="L26" s="26"/>
      <c r="M26" s="26"/>
      <c r="N26" s="26"/>
      <c r="O26" s="26"/>
      <c r="P26" s="26"/>
      <c r="Q26" s="26"/>
      <c r="R26" s="26"/>
      <c r="S26" s="26"/>
      <c r="T26" s="28"/>
    </row>
    <row r="27" spans="1:20" s="29" customFormat="1" x14ac:dyDescent="0.25">
      <c r="A27" s="25"/>
      <c r="B27" s="30" t="s">
        <v>41</v>
      </c>
      <c r="C27" s="27"/>
      <c r="D27" s="27"/>
      <c r="E27" s="27"/>
      <c r="F27" s="26"/>
      <c r="G27" s="26"/>
      <c r="H27" s="26"/>
      <c r="I27" s="26"/>
      <c r="J27" s="26"/>
      <c r="K27" s="26"/>
      <c r="L27" s="26"/>
      <c r="M27" s="26"/>
      <c r="N27" s="26"/>
      <c r="O27" s="26"/>
      <c r="P27" s="26"/>
      <c r="Q27" s="26"/>
      <c r="R27" s="26"/>
      <c r="S27" s="26"/>
      <c r="T27" s="28"/>
    </row>
    <row r="28" spans="1:20" s="29" customFormat="1" x14ac:dyDescent="0.25">
      <c r="A28" s="25"/>
      <c r="B28" s="30" t="s">
        <v>42</v>
      </c>
      <c r="C28" s="27"/>
      <c r="D28" s="27"/>
      <c r="E28" s="27"/>
      <c r="F28" s="26"/>
      <c r="G28" s="26"/>
      <c r="H28" s="26"/>
      <c r="I28" s="26"/>
      <c r="J28" s="26"/>
      <c r="K28" s="26"/>
      <c r="L28" s="26"/>
      <c r="M28" s="26"/>
      <c r="N28" s="26"/>
      <c r="O28" s="26"/>
      <c r="P28" s="26"/>
      <c r="Q28" s="26"/>
      <c r="R28" s="26"/>
      <c r="S28" s="26"/>
      <c r="T28" s="28"/>
    </row>
    <row r="29" spans="1:20" ht="37.5" x14ac:dyDescent="0.25">
      <c r="A29" s="21" t="s">
        <v>16</v>
      </c>
      <c r="B29" s="32" t="s">
        <v>46</v>
      </c>
      <c r="C29" s="23"/>
      <c r="D29" s="23"/>
      <c r="E29" s="23"/>
      <c r="F29" s="33">
        <f>F30+F31</f>
        <v>11185</v>
      </c>
      <c r="G29" s="22"/>
      <c r="H29" s="22"/>
      <c r="I29" s="33">
        <f>I30+I31</f>
        <v>11185</v>
      </c>
      <c r="J29" s="33"/>
      <c r="K29" s="33"/>
      <c r="L29" s="33"/>
      <c r="M29" s="33"/>
      <c r="N29" s="22"/>
      <c r="O29" s="22"/>
      <c r="P29" s="22"/>
      <c r="Q29" s="22"/>
      <c r="R29" s="22"/>
      <c r="S29" s="22"/>
      <c r="T29" s="24"/>
    </row>
    <row r="30" spans="1:20" s="29" customFormat="1" ht="37.5" x14ac:dyDescent="0.25">
      <c r="A30" s="25" t="s">
        <v>10</v>
      </c>
      <c r="B30" s="34" t="s">
        <v>47</v>
      </c>
      <c r="C30" s="27"/>
      <c r="D30" s="27"/>
      <c r="E30" s="27"/>
      <c r="F30" s="35">
        <v>5251</v>
      </c>
      <c r="G30" s="26"/>
      <c r="H30" s="26"/>
      <c r="I30" s="35">
        <v>5251</v>
      </c>
      <c r="J30" s="35"/>
      <c r="K30" s="35"/>
      <c r="L30" s="35"/>
      <c r="M30" s="35"/>
      <c r="N30" s="26"/>
      <c r="O30" s="26"/>
      <c r="P30" s="26"/>
      <c r="Q30" s="26"/>
      <c r="R30" s="26"/>
      <c r="S30" s="26"/>
      <c r="T30" s="28"/>
    </row>
    <row r="31" spans="1:20" s="29" customFormat="1" ht="37.5" x14ac:dyDescent="0.25">
      <c r="A31" s="25" t="s">
        <v>11</v>
      </c>
      <c r="B31" s="34" t="s">
        <v>120</v>
      </c>
      <c r="C31" s="27"/>
      <c r="D31" s="27"/>
      <c r="E31" s="27"/>
      <c r="F31" s="35">
        <v>5934</v>
      </c>
      <c r="G31" s="26"/>
      <c r="H31" s="26"/>
      <c r="I31" s="35">
        <v>5934</v>
      </c>
      <c r="J31" s="35"/>
      <c r="K31" s="35"/>
      <c r="L31" s="35"/>
      <c r="M31" s="35"/>
      <c r="N31" s="26"/>
      <c r="O31" s="26"/>
      <c r="P31" s="26"/>
      <c r="Q31" s="26"/>
      <c r="R31" s="26"/>
      <c r="S31" s="26"/>
      <c r="T31" s="28"/>
    </row>
    <row r="32" spans="1:20" x14ac:dyDescent="0.25">
      <c r="A32" s="21" t="s">
        <v>48</v>
      </c>
      <c r="B32" s="22" t="s">
        <v>49</v>
      </c>
      <c r="C32" s="23"/>
      <c r="D32" s="23"/>
      <c r="E32" s="23"/>
      <c r="F32" s="36">
        <f>F33</f>
        <v>-12591</v>
      </c>
      <c r="G32" s="22"/>
      <c r="H32" s="22"/>
      <c r="I32" s="36">
        <f>I33</f>
        <v>-12591</v>
      </c>
      <c r="J32" s="36"/>
      <c r="K32" s="36"/>
      <c r="L32" s="36"/>
      <c r="M32" s="36"/>
      <c r="N32" s="22"/>
      <c r="O32" s="22"/>
      <c r="P32" s="22"/>
      <c r="Q32" s="22"/>
      <c r="R32" s="22"/>
      <c r="S32" s="22"/>
      <c r="T32" s="24"/>
    </row>
    <row r="33" spans="1:21" s="29" customFormat="1" ht="56.25" x14ac:dyDescent="0.25">
      <c r="A33" s="25" t="s">
        <v>10</v>
      </c>
      <c r="B33" s="34" t="s">
        <v>50</v>
      </c>
      <c r="C33" s="27"/>
      <c r="D33" s="27"/>
      <c r="E33" s="27"/>
      <c r="F33" s="35">
        <v>-12591</v>
      </c>
      <c r="G33" s="26"/>
      <c r="H33" s="26"/>
      <c r="I33" s="35">
        <v>-12591</v>
      </c>
      <c r="J33" s="35"/>
      <c r="K33" s="35"/>
      <c r="L33" s="35"/>
      <c r="M33" s="35"/>
      <c r="N33" s="26"/>
      <c r="O33" s="26"/>
      <c r="P33" s="26"/>
      <c r="Q33" s="26"/>
      <c r="R33" s="26"/>
      <c r="S33" s="26"/>
      <c r="T33" s="28"/>
    </row>
    <row r="34" spans="1:21" x14ac:dyDescent="0.25">
      <c r="A34" s="17">
        <v>3</v>
      </c>
      <c r="B34" s="18" t="s">
        <v>51</v>
      </c>
      <c r="C34" s="23"/>
      <c r="D34" s="23"/>
      <c r="E34" s="23"/>
      <c r="F34" s="37">
        <f>SUM(F35:F38)</f>
        <v>534118.68616500008</v>
      </c>
      <c r="G34" s="22"/>
      <c r="H34" s="22"/>
      <c r="I34" s="37">
        <f>SUM(I35:I38)</f>
        <v>534118.68616500008</v>
      </c>
      <c r="J34" s="37"/>
      <c r="K34" s="37"/>
      <c r="L34" s="37"/>
      <c r="M34" s="37"/>
      <c r="N34" s="22"/>
      <c r="O34" s="22"/>
      <c r="P34" s="22"/>
      <c r="Q34" s="22"/>
      <c r="R34" s="22"/>
      <c r="S34" s="22"/>
      <c r="T34" s="20" t="s">
        <v>52</v>
      </c>
    </row>
    <row r="35" spans="1:21" s="29" customFormat="1" x14ac:dyDescent="0.25">
      <c r="A35" s="25" t="s">
        <v>17</v>
      </c>
      <c r="B35" s="30" t="s">
        <v>39</v>
      </c>
      <c r="C35" s="27"/>
      <c r="D35" s="27"/>
      <c r="E35" s="27"/>
      <c r="F35" s="38">
        <v>154698</v>
      </c>
      <c r="G35" s="26"/>
      <c r="H35" s="26"/>
      <c r="I35" s="38">
        <v>154698</v>
      </c>
      <c r="J35" s="38"/>
      <c r="K35" s="38"/>
      <c r="L35" s="38"/>
      <c r="M35" s="38"/>
      <c r="N35" s="26"/>
      <c r="O35" s="26"/>
      <c r="P35" s="26"/>
      <c r="Q35" s="26"/>
      <c r="R35" s="26"/>
      <c r="S35" s="26"/>
      <c r="T35" s="28"/>
    </row>
    <row r="36" spans="1:21" s="29" customFormat="1" x14ac:dyDescent="0.25">
      <c r="A36" s="25" t="s">
        <v>18</v>
      </c>
      <c r="B36" s="30" t="s">
        <v>40</v>
      </c>
      <c r="C36" s="27"/>
      <c r="D36" s="27"/>
      <c r="E36" s="27"/>
      <c r="F36" s="38">
        <v>293153</v>
      </c>
      <c r="G36" s="26"/>
      <c r="H36" s="26"/>
      <c r="I36" s="38">
        <v>293153</v>
      </c>
      <c r="J36" s="38"/>
      <c r="K36" s="38"/>
      <c r="L36" s="38"/>
      <c r="M36" s="38"/>
      <c r="N36" s="26"/>
      <c r="O36" s="26"/>
      <c r="P36" s="26"/>
      <c r="Q36" s="26"/>
      <c r="R36" s="26"/>
      <c r="S36" s="26"/>
      <c r="T36" s="28"/>
    </row>
    <row r="37" spans="1:21" s="29" customFormat="1" x14ac:dyDescent="0.25">
      <c r="A37" s="25" t="s">
        <v>53</v>
      </c>
      <c r="B37" s="30" t="s">
        <v>41</v>
      </c>
      <c r="C37" s="27"/>
      <c r="D37" s="27"/>
      <c r="E37" s="27"/>
      <c r="F37" s="38">
        <v>49282.686164999999</v>
      </c>
      <c r="G37" s="26"/>
      <c r="H37" s="26"/>
      <c r="I37" s="38">
        <v>49282.686164999999</v>
      </c>
      <c r="J37" s="38"/>
      <c r="K37" s="38"/>
      <c r="L37" s="38"/>
      <c r="M37" s="38"/>
      <c r="N37" s="26"/>
      <c r="O37" s="26"/>
      <c r="P37" s="26"/>
      <c r="Q37" s="26"/>
      <c r="R37" s="26"/>
      <c r="S37" s="26"/>
      <c r="T37" s="28"/>
    </row>
    <row r="38" spans="1:21" s="29" customFormat="1" x14ac:dyDescent="0.25">
      <c r="A38" s="25" t="s">
        <v>54</v>
      </c>
      <c r="B38" s="30" t="s">
        <v>42</v>
      </c>
      <c r="C38" s="27"/>
      <c r="D38" s="27"/>
      <c r="E38" s="27"/>
      <c r="F38" s="38">
        <v>36985</v>
      </c>
      <c r="G38" s="26"/>
      <c r="H38" s="26"/>
      <c r="I38" s="38">
        <v>36985</v>
      </c>
      <c r="J38" s="38"/>
      <c r="K38" s="38"/>
      <c r="L38" s="38"/>
      <c r="M38" s="38"/>
      <c r="N38" s="26"/>
      <c r="O38" s="26"/>
      <c r="P38" s="26"/>
      <c r="Q38" s="26"/>
      <c r="R38" s="26"/>
      <c r="S38" s="26"/>
      <c r="T38" s="28"/>
    </row>
    <row r="39" spans="1:21" s="66" customFormat="1" x14ac:dyDescent="0.25">
      <c r="A39" s="59" t="s">
        <v>3</v>
      </c>
      <c r="B39" s="60" t="s">
        <v>55</v>
      </c>
      <c r="C39" s="61">
        <v>779390</v>
      </c>
      <c r="D39" s="61">
        <v>727931</v>
      </c>
      <c r="E39" s="61">
        <v>51459</v>
      </c>
      <c r="F39" s="62">
        <f>G39+I39</f>
        <v>779390</v>
      </c>
      <c r="G39" s="62">
        <f>G40+G63</f>
        <v>2178</v>
      </c>
      <c r="H39" s="62">
        <f>H40+H63</f>
        <v>0</v>
      </c>
      <c r="I39" s="62">
        <f>I63</f>
        <v>777212</v>
      </c>
      <c r="J39" s="63">
        <f>F39-C39</f>
        <v>0</v>
      </c>
      <c r="K39" s="63">
        <f>G39</f>
        <v>2178</v>
      </c>
      <c r="L39" s="63">
        <f>H39-D39</f>
        <v>-727931</v>
      </c>
      <c r="M39" s="63">
        <f>I39-E39</f>
        <v>725753</v>
      </c>
      <c r="N39" s="64"/>
      <c r="O39" s="64"/>
      <c r="P39" s="64"/>
      <c r="Q39" s="62">
        <f>R39+S39</f>
        <v>779390.60000000009</v>
      </c>
      <c r="R39" s="62">
        <f>R40+R63</f>
        <v>2178</v>
      </c>
      <c r="S39" s="62">
        <f>S63</f>
        <v>777212.60000000009</v>
      </c>
      <c r="T39" s="65"/>
      <c r="U39" s="66" t="s">
        <v>121</v>
      </c>
    </row>
    <row r="40" spans="1:21" s="2" customFormat="1" x14ac:dyDescent="0.25">
      <c r="A40" s="17">
        <v>1</v>
      </c>
      <c r="B40" s="18" t="s">
        <v>34</v>
      </c>
      <c r="C40" s="10"/>
      <c r="D40" s="10"/>
      <c r="E40" s="10"/>
      <c r="F40" s="37">
        <f>G40+I40</f>
        <v>727932</v>
      </c>
      <c r="G40" s="37">
        <f>G41</f>
        <v>2178</v>
      </c>
      <c r="H40" s="37"/>
      <c r="I40" s="37">
        <f>I46</f>
        <v>725754</v>
      </c>
      <c r="J40" s="37"/>
      <c r="K40" s="37"/>
      <c r="L40" s="37"/>
      <c r="M40" s="37"/>
      <c r="N40" s="37"/>
      <c r="O40" s="37"/>
      <c r="P40" s="37"/>
      <c r="Q40" s="37">
        <f>R40+S40</f>
        <v>727932</v>
      </c>
      <c r="R40" s="37">
        <f>R41</f>
        <v>2178</v>
      </c>
      <c r="S40" s="37">
        <f>S46</f>
        <v>725754</v>
      </c>
      <c r="T40" s="40"/>
    </row>
    <row r="41" spans="1:21" x14ac:dyDescent="0.25">
      <c r="A41" s="21" t="s">
        <v>12</v>
      </c>
      <c r="B41" s="22" t="s">
        <v>36</v>
      </c>
      <c r="C41" s="41"/>
      <c r="D41" s="41"/>
      <c r="E41" s="41"/>
      <c r="F41" s="42">
        <f>G41+I41</f>
        <v>2178</v>
      </c>
      <c r="G41" s="42">
        <v>2178</v>
      </c>
      <c r="H41" s="42"/>
      <c r="I41" s="42"/>
      <c r="J41" s="42"/>
      <c r="K41" s="42"/>
      <c r="L41" s="42"/>
      <c r="M41" s="42"/>
      <c r="N41" s="42"/>
      <c r="O41" s="42"/>
      <c r="P41" s="42"/>
      <c r="Q41" s="42">
        <f>R41+S41</f>
        <v>2178</v>
      </c>
      <c r="R41" s="42">
        <v>2178</v>
      </c>
      <c r="S41" s="42"/>
      <c r="T41" s="42"/>
    </row>
    <row r="42" spans="1:21" s="29" customFormat="1" x14ac:dyDescent="0.25">
      <c r="A42" s="25"/>
      <c r="B42" s="26" t="s">
        <v>37</v>
      </c>
      <c r="C42" s="27"/>
      <c r="D42" s="27"/>
      <c r="E42" s="27"/>
      <c r="F42" s="26"/>
      <c r="G42" s="26"/>
      <c r="H42" s="26"/>
      <c r="I42" s="26"/>
      <c r="J42" s="26"/>
      <c r="K42" s="26"/>
      <c r="L42" s="26"/>
      <c r="M42" s="26"/>
      <c r="N42" s="26"/>
      <c r="O42" s="26"/>
      <c r="P42" s="26"/>
      <c r="Q42" s="26"/>
      <c r="R42" s="26"/>
      <c r="S42" s="26"/>
      <c r="T42" s="28"/>
    </row>
    <row r="43" spans="1:21" s="29" customFormat="1" x14ac:dyDescent="0.25">
      <c r="A43" s="25"/>
      <c r="B43" s="26" t="s">
        <v>37</v>
      </c>
      <c r="C43" s="27"/>
      <c r="D43" s="27"/>
      <c r="E43" s="27"/>
      <c r="F43" s="26"/>
      <c r="G43" s="26"/>
      <c r="H43" s="26"/>
      <c r="I43" s="26"/>
      <c r="J43" s="26"/>
      <c r="K43" s="26"/>
      <c r="L43" s="26"/>
      <c r="M43" s="26"/>
      <c r="N43" s="26"/>
      <c r="O43" s="26"/>
      <c r="P43" s="26"/>
      <c r="Q43" s="26"/>
      <c r="R43" s="26"/>
      <c r="S43" s="26"/>
      <c r="T43" s="28"/>
    </row>
    <row r="44" spans="1:21" s="29" customFormat="1" x14ac:dyDescent="0.25">
      <c r="A44" s="25"/>
      <c r="B44" s="26" t="s">
        <v>37</v>
      </c>
      <c r="C44" s="27"/>
      <c r="D44" s="27"/>
      <c r="E44" s="27"/>
      <c r="F44" s="26"/>
      <c r="G44" s="26"/>
      <c r="H44" s="26"/>
      <c r="I44" s="26"/>
      <c r="J44" s="26"/>
      <c r="K44" s="26"/>
      <c r="L44" s="26"/>
      <c r="M44" s="26"/>
      <c r="N44" s="26"/>
      <c r="O44" s="26"/>
      <c r="P44" s="26"/>
      <c r="Q44" s="26"/>
      <c r="R44" s="26"/>
      <c r="S44" s="26"/>
      <c r="T44" s="28"/>
    </row>
    <row r="45" spans="1:21" s="29" customFormat="1" x14ac:dyDescent="0.25">
      <c r="A45" s="25"/>
      <c r="B45" s="26" t="s">
        <v>37</v>
      </c>
      <c r="C45" s="27"/>
      <c r="D45" s="27"/>
      <c r="E45" s="27"/>
      <c r="F45" s="26"/>
      <c r="G45" s="26"/>
      <c r="H45" s="26"/>
      <c r="I45" s="26"/>
      <c r="J45" s="26"/>
      <c r="K45" s="26"/>
      <c r="L45" s="26"/>
      <c r="M45" s="26"/>
      <c r="N45" s="26"/>
      <c r="O45" s="26"/>
      <c r="P45" s="26"/>
      <c r="Q45" s="26"/>
      <c r="R45" s="26"/>
      <c r="S45" s="26"/>
      <c r="T45" s="28"/>
    </row>
    <row r="46" spans="1:21" x14ac:dyDescent="0.25">
      <c r="A46" s="21" t="s">
        <v>14</v>
      </c>
      <c r="B46" s="22" t="s">
        <v>56</v>
      </c>
      <c r="C46" s="41"/>
      <c r="D46" s="41"/>
      <c r="E46" s="41"/>
      <c r="F46" s="42">
        <f>SUM(F47:F52)</f>
        <v>725754</v>
      </c>
      <c r="G46" s="42"/>
      <c r="H46" s="42"/>
      <c r="I46" s="42">
        <f>SUM(I47:I52)</f>
        <v>725754</v>
      </c>
      <c r="J46" s="42"/>
      <c r="K46" s="42"/>
      <c r="L46" s="42"/>
      <c r="M46" s="42"/>
      <c r="N46" s="42">
        <f>SUM(N47:N52)</f>
        <v>0</v>
      </c>
      <c r="O46" s="42"/>
      <c r="P46" s="42">
        <f>SUM(P47:P52)</f>
        <v>0</v>
      </c>
      <c r="Q46" s="42">
        <f>SUM(Q47:Q52)</f>
        <v>725754</v>
      </c>
      <c r="R46" s="42"/>
      <c r="S46" s="42">
        <f>SUM(S47:S52)</f>
        <v>725754</v>
      </c>
      <c r="T46" s="42"/>
    </row>
    <row r="47" spans="1:21" s="29" customFormat="1" x14ac:dyDescent="0.25">
      <c r="A47" s="25"/>
      <c r="B47" s="26" t="s">
        <v>57</v>
      </c>
      <c r="C47" s="43"/>
      <c r="D47" s="43"/>
      <c r="E47" s="43"/>
      <c r="F47" s="44">
        <v>3917</v>
      </c>
      <c r="G47" s="44"/>
      <c r="H47" s="44"/>
      <c r="I47" s="44">
        <v>3917</v>
      </c>
      <c r="J47" s="44"/>
      <c r="K47" s="44"/>
      <c r="L47" s="44"/>
      <c r="M47" s="44"/>
      <c r="N47" s="44">
        <f t="shared" ref="N47:N52" si="1">O47+P47</f>
        <v>2521</v>
      </c>
      <c r="O47" s="44"/>
      <c r="P47" s="44">
        <v>2521</v>
      </c>
      <c r="Q47" s="44">
        <f t="shared" ref="Q47:Q52" si="2">R47+S47</f>
        <v>6438</v>
      </c>
      <c r="R47" s="44"/>
      <c r="S47" s="44">
        <f t="shared" ref="S47:S52" si="3">I47+P47</f>
        <v>6438</v>
      </c>
      <c r="T47" s="44"/>
    </row>
    <row r="48" spans="1:21" s="29" customFormat="1" x14ac:dyDescent="0.25">
      <c r="A48" s="25"/>
      <c r="B48" s="26" t="s">
        <v>58</v>
      </c>
      <c r="C48" s="43"/>
      <c r="D48" s="43"/>
      <c r="E48" s="43"/>
      <c r="F48" s="44">
        <v>4183</v>
      </c>
      <c r="G48" s="44"/>
      <c r="H48" s="44"/>
      <c r="I48" s="44">
        <v>4183</v>
      </c>
      <c r="J48" s="44"/>
      <c r="K48" s="44"/>
      <c r="L48" s="44"/>
      <c r="M48" s="44"/>
      <c r="N48" s="44">
        <f t="shared" si="1"/>
        <v>2011</v>
      </c>
      <c r="O48" s="44"/>
      <c r="P48" s="44">
        <v>2011</v>
      </c>
      <c r="Q48" s="44">
        <f t="shared" si="2"/>
        <v>6194</v>
      </c>
      <c r="R48" s="44"/>
      <c r="S48" s="44">
        <f t="shared" si="3"/>
        <v>6194</v>
      </c>
      <c r="T48" s="44"/>
    </row>
    <row r="49" spans="1:20" s="29" customFormat="1" x14ac:dyDescent="0.25">
      <c r="A49" s="25"/>
      <c r="B49" s="26" t="s">
        <v>59</v>
      </c>
      <c r="C49" s="43"/>
      <c r="D49" s="43"/>
      <c r="E49" s="43"/>
      <c r="F49" s="44">
        <v>706869</v>
      </c>
      <c r="G49" s="44"/>
      <c r="H49" s="44"/>
      <c r="I49" s="44">
        <v>706869</v>
      </c>
      <c r="J49" s="44"/>
      <c r="K49" s="44"/>
      <c r="L49" s="44"/>
      <c r="M49" s="44"/>
      <c r="N49" s="44">
        <f t="shared" si="1"/>
        <v>-10997</v>
      </c>
      <c r="O49" s="44"/>
      <c r="P49" s="44">
        <v>-10997</v>
      </c>
      <c r="Q49" s="44">
        <f t="shared" si="2"/>
        <v>695872</v>
      </c>
      <c r="R49" s="44"/>
      <c r="S49" s="44">
        <f t="shared" si="3"/>
        <v>695872</v>
      </c>
      <c r="T49" s="44"/>
    </row>
    <row r="50" spans="1:20" s="29" customFormat="1" x14ac:dyDescent="0.25">
      <c r="A50" s="25"/>
      <c r="B50" s="26" t="s">
        <v>60</v>
      </c>
      <c r="C50" s="27"/>
      <c r="D50" s="27"/>
      <c r="E50" s="27"/>
      <c r="F50" s="44">
        <v>3754</v>
      </c>
      <c r="G50" s="26"/>
      <c r="H50" s="26"/>
      <c r="I50" s="44">
        <v>3754</v>
      </c>
      <c r="J50" s="26"/>
      <c r="K50" s="26"/>
      <c r="L50" s="26"/>
      <c r="M50" s="26"/>
      <c r="N50" s="44">
        <f t="shared" si="1"/>
        <v>2271</v>
      </c>
      <c r="O50" s="26"/>
      <c r="P50" s="44">
        <v>2271</v>
      </c>
      <c r="Q50" s="44">
        <f t="shared" si="2"/>
        <v>6025</v>
      </c>
      <c r="R50" s="26"/>
      <c r="S50" s="44">
        <f t="shared" si="3"/>
        <v>6025</v>
      </c>
      <c r="T50" s="28"/>
    </row>
    <row r="51" spans="1:20" s="29" customFormat="1" x14ac:dyDescent="0.25">
      <c r="A51" s="25"/>
      <c r="B51" s="26" t="s">
        <v>61</v>
      </c>
      <c r="C51" s="27"/>
      <c r="D51" s="27"/>
      <c r="E51" s="27"/>
      <c r="F51" s="44">
        <v>5575</v>
      </c>
      <c r="G51" s="26"/>
      <c r="H51" s="26"/>
      <c r="I51" s="44">
        <v>5575</v>
      </c>
      <c r="J51" s="26"/>
      <c r="K51" s="26"/>
      <c r="L51" s="26"/>
      <c r="M51" s="26"/>
      <c r="N51" s="44">
        <f t="shared" si="1"/>
        <v>2406</v>
      </c>
      <c r="O51" s="26"/>
      <c r="P51" s="44">
        <v>2406</v>
      </c>
      <c r="Q51" s="44">
        <f t="shared" si="2"/>
        <v>7981</v>
      </c>
      <c r="R51" s="26"/>
      <c r="S51" s="44">
        <f t="shared" si="3"/>
        <v>7981</v>
      </c>
      <c r="T51" s="28"/>
    </row>
    <row r="52" spans="1:20" s="29" customFormat="1" x14ac:dyDescent="0.25">
      <c r="A52" s="25"/>
      <c r="B52" s="26" t="s">
        <v>62</v>
      </c>
      <c r="C52" s="27"/>
      <c r="D52" s="27"/>
      <c r="E52" s="27"/>
      <c r="F52" s="44">
        <v>1456</v>
      </c>
      <c r="G52" s="26"/>
      <c r="H52" s="26"/>
      <c r="I52" s="44">
        <v>1456</v>
      </c>
      <c r="J52" s="26"/>
      <c r="K52" s="26"/>
      <c r="L52" s="26"/>
      <c r="M52" s="26"/>
      <c r="N52" s="44">
        <f t="shared" si="1"/>
        <v>1788</v>
      </c>
      <c r="O52" s="26"/>
      <c r="P52" s="44">
        <v>1788</v>
      </c>
      <c r="Q52" s="44">
        <f t="shared" si="2"/>
        <v>3244</v>
      </c>
      <c r="R52" s="26"/>
      <c r="S52" s="44">
        <f t="shared" si="3"/>
        <v>3244</v>
      </c>
      <c r="T52" s="28"/>
    </row>
    <row r="53" spans="1:20" x14ac:dyDescent="0.25">
      <c r="A53" s="21" t="s">
        <v>13</v>
      </c>
      <c r="B53" s="22" t="s">
        <v>43</v>
      </c>
      <c r="C53" s="41"/>
      <c r="D53" s="41"/>
      <c r="E53" s="41"/>
      <c r="F53" s="37"/>
      <c r="G53" s="42"/>
      <c r="H53" s="42"/>
      <c r="I53" s="42"/>
      <c r="J53" s="42"/>
      <c r="K53" s="42"/>
      <c r="L53" s="42"/>
      <c r="M53" s="42"/>
      <c r="N53" s="42"/>
      <c r="O53" s="42"/>
      <c r="P53" s="42"/>
      <c r="Q53" s="37"/>
      <c r="R53" s="42"/>
      <c r="S53" s="42"/>
      <c r="T53" s="42"/>
    </row>
    <row r="54" spans="1:20" s="2" customFormat="1" x14ac:dyDescent="0.25">
      <c r="A54" s="17">
        <v>2</v>
      </c>
      <c r="B54" s="18" t="s">
        <v>63</v>
      </c>
      <c r="C54" s="10"/>
      <c r="D54" s="10"/>
      <c r="E54" s="10"/>
      <c r="F54" s="37">
        <f>F55</f>
        <v>51458.600000000006</v>
      </c>
      <c r="G54" s="37"/>
      <c r="H54" s="37"/>
      <c r="I54" s="37">
        <f>I55</f>
        <v>51458.600000000006</v>
      </c>
      <c r="J54" s="37"/>
      <c r="K54" s="37"/>
      <c r="L54" s="37"/>
      <c r="M54" s="37"/>
      <c r="N54" s="37"/>
      <c r="O54" s="37"/>
      <c r="P54" s="37"/>
      <c r="Q54" s="37">
        <f>Q55</f>
        <v>51458.600000000006</v>
      </c>
      <c r="R54" s="37"/>
      <c r="S54" s="37">
        <f>S55</f>
        <v>51458.600000000006</v>
      </c>
      <c r="T54" s="37"/>
    </row>
    <row r="55" spans="1:20" x14ac:dyDescent="0.25">
      <c r="A55" s="21" t="s">
        <v>15</v>
      </c>
      <c r="B55" s="22" t="s">
        <v>56</v>
      </c>
      <c r="C55" s="41"/>
      <c r="D55" s="41"/>
      <c r="E55" s="41"/>
      <c r="F55" s="42">
        <f>SUM(F56:F61)</f>
        <v>51458.600000000006</v>
      </c>
      <c r="G55" s="42"/>
      <c r="H55" s="42"/>
      <c r="I55" s="42">
        <f>SUM(I56:I61)</f>
        <v>51458.600000000006</v>
      </c>
      <c r="J55" s="42"/>
      <c r="K55" s="42"/>
      <c r="L55" s="42"/>
      <c r="M55" s="42"/>
      <c r="N55" s="42"/>
      <c r="O55" s="42"/>
      <c r="P55" s="42"/>
      <c r="Q55" s="44">
        <f>R55+S55</f>
        <v>51458.600000000006</v>
      </c>
      <c r="R55" s="42"/>
      <c r="S55" s="42">
        <f>SUM(S56:S61)</f>
        <v>51458.600000000006</v>
      </c>
      <c r="T55" s="42"/>
    </row>
    <row r="56" spans="1:20" s="29" customFormat="1" x14ac:dyDescent="0.25">
      <c r="A56" s="25"/>
      <c r="B56" s="26" t="s">
        <v>57</v>
      </c>
      <c r="C56" s="43"/>
      <c r="D56" s="43"/>
      <c r="E56" s="43"/>
      <c r="F56" s="44">
        <v>1280.3</v>
      </c>
      <c r="G56" s="44"/>
      <c r="H56" s="44"/>
      <c r="I56" s="44">
        <v>1280.3</v>
      </c>
      <c r="J56" s="44"/>
      <c r="K56" s="44"/>
      <c r="L56" s="44"/>
      <c r="M56" s="44"/>
      <c r="N56" s="44"/>
      <c r="O56" s="44"/>
      <c r="P56" s="44"/>
      <c r="Q56" s="44">
        <v>1280.3</v>
      </c>
      <c r="R56" s="44"/>
      <c r="S56" s="44">
        <v>1280.3</v>
      </c>
      <c r="T56" s="44"/>
    </row>
    <row r="57" spans="1:20" s="29" customFormat="1" x14ac:dyDescent="0.25">
      <c r="A57" s="25"/>
      <c r="B57" s="26" t="s">
        <v>58</v>
      </c>
      <c r="C57" s="43"/>
      <c r="D57" s="43"/>
      <c r="E57" s="43"/>
      <c r="F57" s="44">
        <v>1336</v>
      </c>
      <c r="G57" s="44"/>
      <c r="H57" s="44"/>
      <c r="I57" s="44">
        <v>1336</v>
      </c>
      <c r="J57" s="44"/>
      <c r="K57" s="44"/>
      <c r="L57" s="44"/>
      <c r="M57" s="44"/>
      <c r="N57" s="44"/>
      <c r="O57" s="44"/>
      <c r="P57" s="44"/>
      <c r="Q57" s="44">
        <v>1336</v>
      </c>
      <c r="R57" s="44"/>
      <c r="S57" s="44">
        <v>1336</v>
      </c>
      <c r="T57" s="44"/>
    </row>
    <row r="58" spans="1:20" s="29" customFormat="1" x14ac:dyDescent="0.25">
      <c r="A58" s="25"/>
      <c r="B58" s="26" t="s">
        <v>59</v>
      </c>
      <c r="C58" s="43"/>
      <c r="D58" s="43"/>
      <c r="E58" s="43"/>
      <c r="F58" s="44">
        <v>33602</v>
      </c>
      <c r="G58" s="44"/>
      <c r="H58" s="44"/>
      <c r="I58" s="44">
        <v>33602</v>
      </c>
      <c r="J58" s="44"/>
      <c r="K58" s="44"/>
      <c r="L58" s="44"/>
      <c r="M58" s="44"/>
      <c r="N58" s="44"/>
      <c r="O58" s="44"/>
      <c r="P58" s="44"/>
      <c r="Q58" s="44">
        <v>33602</v>
      </c>
      <c r="R58" s="44"/>
      <c r="S58" s="44">
        <v>33602</v>
      </c>
      <c r="T58" s="44"/>
    </row>
    <row r="59" spans="1:20" s="29" customFormat="1" x14ac:dyDescent="0.25">
      <c r="A59" s="25"/>
      <c r="B59" s="26" t="s">
        <v>60</v>
      </c>
      <c r="C59" s="27"/>
      <c r="D59" s="27"/>
      <c r="E59" s="27"/>
      <c r="F59" s="44">
        <v>5503.3</v>
      </c>
      <c r="G59" s="26"/>
      <c r="H59" s="26"/>
      <c r="I59" s="44">
        <v>5503.3</v>
      </c>
      <c r="J59" s="26"/>
      <c r="K59" s="26"/>
      <c r="L59" s="26"/>
      <c r="M59" s="26"/>
      <c r="N59" s="26"/>
      <c r="O59" s="26"/>
      <c r="P59" s="26"/>
      <c r="Q59" s="44">
        <v>5503.3</v>
      </c>
      <c r="R59" s="26"/>
      <c r="S59" s="44">
        <v>5503.3</v>
      </c>
      <c r="T59" s="44"/>
    </row>
    <row r="60" spans="1:20" s="29" customFormat="1" x14ac:dyDescent="0.25">
      <c r="A60" s="25"/>
      <c r="B60" s="26" t="s">
        <v>61</v>
      </c>
      <c r="C60" s="27"/>
      <c r="D60" s="27"/>
      <c r="E60" s="27"/>
      <c r="F60" s="44">
        <v>7421</v>
      </c>
      <c r="G60" s="26"/>
      <c r="H60" s="26"/>
      <c r="I60" s="44">
        <v>7421</v>
      </c>
      <c r="J60" s="26"/>
      <c r="K60" s="26"/>
      <c r="L60" s="26"/>
      <c r="M60" s="26"/>
      <c r="N60" s="26"/>
      <c r="O60" s="26"/>
      <c r="P60" s="26"/>
      <c r="Q60" s="44">
        <v>7421</v>
      </c>
      <c r="R60" s="26"/>
      <c r="S60" s="44">
        <v>7421</v>
      </c>
      <c r="T60" s="44"/>
    </row>
    <row r="61" spans="1:20" s="29" customFormat="1" x14ac:dyDescent="0.25">
      <c r="A61" s="25"/>
      <c r="B61" s="26" t="s">
        <v>62</v>
      </c>
      <c r="C61" s="27"/>
      <c r="D61" s="27"/>
      <c r="E61" s="27"/>
      <c r="F61" s="44">
        <v>2316</v>
      </c>
      <c r="G61" s="26"/>
      <c r="H61" s="26"/>
      <c r="I61" s="44">
        <v>2316</v>
      </c>
      <c r="J61" s="26"/>
      <c r="K61" s="26"/>
      <c r="L61" s="26"/>
      <c r="M61" s="26"/>
      <c r="N61" s="26"/>
      <c r="O61" s="26"/>
      <c r="P61" s="26"/>
      <c r="Q61" s="44">
        <v>2316</v>
      </c>
      <c r="R61" s="26"/>
      <c r="S61" s="44">
        <v>2316</v>
      </c>
      <c r="T61" s="44"/>
    </row>
    <row r="62" spans="1:20" x14ac:dyDescent="0.25">
      <c r="A62" s="21" t="s">
        <v>16</v>
      </c>
      <c r="B62" s="22" t="s">
        <v>43</v>
      </c>
      <c r="C62" s="41"/>
      <c r="D62" s="41"/>
      <c r="E62" s="41"/>
      <c r="F62" s="37"/>
      <c r="G62" s="42"/>
      <c r="H62" s="42"/>
      <c r="I62" s="42"/>
      <c r="J62" s="42"/>
      <c r="K62" s="42"/>
      <c r="L62" s="42"/>
      <c r="M62" s="42"/>
      <c r="N62" s="42"/>
      <c r="O62" s="42"/>
      <c r="P62" s="42"/>
      <c r="Q62" s="37"/>
      <c r="R62" s="42"/>
      <c r="S62" s="42"/>
      <c r="T62" s="42"/>
    </row>
    <row r="63" spans="1:20" s="2" customFormat="1" x14ac:dyDescent="0.25">
      <c r="A63" s="17">
        <v>3</v>
      </c>
      <c r="B63" s="18" t="s">
        <v>51</v>
      </c>
      <c r="C63" s="10"/>
      <c r="D63" s="10"/>
      <c r="E63" s="10"/>
      <c r="F63" s="37">
        <f t="shared" ref="F63:F69" si="4">G63+I63</f>
        <v>777212</v>
      </c>
      <c r="G63" s="37"/>
      <c r="H63" s="37"/>
      <c r="I63" s="37">
        <f>SUM(I64:I69)</f>
        <v>777212</v>
      </c>
      <c r="J63" s="37"/>
      <c r="K63" s="37"/>
      <c r="L63" s="37"/>
      <c r="M63" s="37"/>
      <c r="N63" s="37"/>
      <c r="O63" s="37"/>
      <c r="P63" s="37"/>
      <c r="Q63" s="37">
        <f t="shared" ref="Q63:Q69" si="5">R63+S63</f>
        <v>777212.60000000009</v>
      </c>
      <c r="R63" s="37"/>
      <c r="S63" s="37">
        <f>SUM(S64:S69)</f>
        <v>777212.60000000009</v>
      </c>
      <c r="T63" s="37"/>
    </row>
    <row r="64" spans="1:20" s="29" customFormat="1" x14ac:dyDescent="0.25">
      <c r="A64" s="25" t="s">
        <v>17</v>
      </c>
      <c r="B64" s="26" t="s">
        <v>57</v>
      </c>
      <c r="C64" s="43"/>
      <c r="D64" s="43"/>
      <c r="E64" s="43"/>
      <c r="F64" s="44">
        <f t="shared" si="4"/>
        <v>5197</v>
      </c>
      <c r="G64" s="44"/>
      <c r="H64" s="44"/>
      <c r="I64" s="44">
        <v>5197</v>
      </c>
      <c r="J64" s="44"/>
      <c r="K64" s="44"/>
      <c r="L64" s="44"/>
      <c r="M64" s="44"/>
      <c r="N64" s="44"/>
      <c r="O64" s="44"/>
      <c r="P64" s="44"/>
      <c r="Q64" s="44">
        <f t="shared" si="5"/>
        <v>7718.3</v>
      </c>
      <c r="R64" s="44"/>
      <c r="S64" s="44">
        <f t="shared" ref="S64:S69" si="6">S47+S56</f>
        <v>7718.3</v>
      </c>
      <c r="T64" s="44"/>
    </row>
    <row r="65" spans="1:20" s="29" customFormat="1" x14ac:dyDescent="0.25">
      <c r="A65" s="25" t="s">
        <v>18</v>
      </c>
      <c r="B65" s="26" t="s">
        <v>58</v>
      </c>
      <c r="C65" s="43"/>
      <c r="D65" s="43"/>
      <c r="E65" s="43"/>
      <c r="F65" s="44">
        <f t="shared" si="4"/>
        <v>5518</v>
      </c>
      <c r="G65" s="44"/>
      <c r="H65" s="44"/>
      <c r="I65" s="44">
        <v>5518</v>
      </c>
      <c r="J65" s="44"/>
      <c r="K65" s="44"/>
      <c r="L65" s="44"/>
      <c r="M65" s="44"/>
      <c r="N65" s="44"/>
      <c r="O65" s="44"/>
      <c r="P65" s="44"/>
      <c r="Q65" s="44">
        <f t="shared" si="5"/>
        <v>7530</v>
      </c>
      <c r="R65" s="44"/>
      <c r="S65" s="44">
        <f t="shared" si="6"/>
        <v>7530</v>
      </c>
      <c r="T65" s="44"/>
    </row>
    <row r="66" spans="1:20" s="29" customFormat="1" x14ac:dyDescent="0.25">
      <c r="A66" s="25" t="s">
        <v>53</v>
      </c>
      <c r="B66" s="26" t="s">
        <v>59</v>
      </c>
      <c r="C66" s="43"/>
      <c r="D66" s="43"/>
      <c r="E66" s="43"/>
      <c r="F66" s="44">
        <f t="shared" si="4"/>
        <v>740471</v>
      </c>
      <c r="G66" s="44"/>
      <c r="H66" s="44"/>
      <c r="I66" s="44">
        <v>740471</v>
      </c>
      <c r="J66" s="44"/>
      <c r="K66" s="44"/>
      <c r="L66" s="44"/>
      <c r="M66" s="44"/>
      <c r="N66" s="44"/>
      <c r="O66" s="44"/>
      <c r="P66" s="44"/>
      <c r="Q66" s="44">
        <f t="shared" si="5"/>
        <v>729474</v>
      </c>
      <c r="R66" s="44"/>
      <c r="S66" s="44">
        <f t="shared" si="6"/>
        <v>729474</v>
      </c>
      <c r="T66" s="44"/>
    </row>
    <row r="67" spans="1:20" s="29" customFormat="1" x14ac:dyDescent="0.25">
      <c r="A67" s="25" t="s">
        <v>54</v>
      </c>
      <c r="B67" s="26" t="s">
        <v>60</v>
      </c>
      <c r="C67" s="43"/>
      <c r="D67" s="43"/>
      <c r="E67" s="43"/>
      <c r="F67" s="44">
        <f t="shared" si="4"/>
        <v>9258</v>
      </c>
      <c r="G67" s="44"/>
      <c r="H67" s="44"/>
      <c r="I67" s="44">
        <v>9258</v>
      </c>
      <c r="J67" s="44"/>
      <c r="K67" s="44"/>
      <c r="L67" s="44"/>
      <c r="M67" s="44"/>
      <c r="N67" s="44"/>
      <c r="O67" s="44"/>
      <c r="P67" s="44"/>
      <c r="Q67" s="44">
        <f t="shared" si="5"/>
        <v>11528.3</v>
      </c>
      <c r="R67" s="44"/>
      <c r="S67" s="44">
        <f t="shared" si="6"/>
        <v>11528.3</v>
      </c>
      <c r="T67" s="44"/>
    </row>
    <row r="68" spans="1:20" s="29" customFormat="1" x14ac:dyDescent="0.25">
      <c r="A68" s="25" t="s">
        <v>64</v>
      </c>
      <c r="B68" s="26" t="s">
        <v>61</v>
      </c>
      <c r="C68" s="43"/>
      <c r="D68" s="43"/>
      <c r="E68" s="43"/>
      <c r="F68" s="44">
        <f t="shared" si="4"/>
        <v>12996</v>
      </c>
      <c r="G68" s="44"/>
      <c r="H68" s="44"/>
      <c r="I68" s="44">
        <v>12996</v>
      </c>
      <c r="J68" s="44"/>
      <c r="K68" s="44"/>
      <c r="L68" s="44"/>
      <c r="M68" s="44"/>
      <c r="N68" s="44"/>
      <c r="O68" s="44"/>
      <c r="P68" s="44"/>
      <c r="Q68" s="44">
        <f t="shared" si="5"/>
        <v>15402</v>
      </c>
      <c r="R68" s="44"/>
      <c r="S68" s="44">
        <f t="shared" si="6"/>
        <v>15402</v>
      </c>
      <c r="T68" s="44"/>
    </row>
    <row r="69" spans="1:20" s="29" customFormat="1" x14ac:dyDescent="0.25">
      <c r="A69" s="25" t="s">
        <v>65</v>
      </c>
      <c r="B69" s="26" t="s">
        <v>62</v>
      </c>
      <c r="C69" s="43"/>
      <c r="D69" s="43"/>
      <c r="E69" s="43"/>
      <c r="F69" s="44">
        <f t="shared" si="4"/>
        <v>3772</v>
      </c>
      <c r="G69" s="44"/>
      <c r="H69" s="44"/>
      <c r="I69" s="44">
        <v>3772</v>
      </c>
      <c r="J69" s="44"/>
      <c r="K69" s="44"/>
      <c r="L69" s="44"/>
      <c r="M69" s="44"/>
      <c r="N69" s="44"/>
      <c r="O69" s="44"/>
      <c r="P69" s="44"/>
      <c r="Q69" s="44">
        <f t="shared" si="5"/>
        <v>5560</v>
      </c>
      <c r="R69" s="44"/>
      <c r="S69" s="44">
        <f t="shared" si="6"/>
        <v>5560</v>
      </c>
      <c r="T69" s="44"/>
    </row>
    <row r="70" spans="1:20" s="16" customFormat="1" ht="30" x14ac:dyDescent="0.25">
      <c r="A70" s="11" t="s">
        <v>4</v>
      </c>
      <c r="B70" s="12" t="s">
        <v>66</v>
      </c>
      <c r="C70" s="13">
        <v>459895.244542</v>
      </c>
      <c r="D70" s="13">
        <v>412102.51993499999</v>
      </c>
      <c r="E70" s="13">
        <v>47792.724606999996</v>
      </c>
      <c r="F70" s="14">
        <f>F98</f>
        <v>470295.84353399999</v>
      </c>
      <c r="G70" s="14">
        <f>G98</f>
        <v>0</v>
      </c>
      <c r="H70" s="14"/>
      <c r="I70" s="14">
        <f>I98</f>
        <v>470295.84353399999</v>
      </c>
      <c r="J70" s="14">
        <f>F70-C70</f>
        <v>10400.598991999985</v>
      </c>
      <c r="K70" s="14">
        <f>G70</f>
        <v>0</v>
      </c>
      <c r="L70" s="14">
        <f>H70-D70</f>
        <v>-412102.51993499999</v>
      </c>
      <c r="M70" s="14">
        <f>I70-E70</f>
        <v>422503.11892699997</v>
      </c>
      <c r="N70" s="12"/>
      <c r="O70" s="12"/>
      <c r="P70" s="12"/>
      <c r="Q70" s="12"/>
      <c r="R70" s="12"/>
      <c r="S70" s="12"/>
      <c r="T70" s="15" t="s">
        <v>67</v>
      </c>
    </row>
    <row r="71" spans="1:20" s="2" customFormat="1" ht="30" x14ac:dyDescent="0.25">
      <c r="A71" s="17">
        <v>1</v>
      </c>
      <c r="B71" s="18" t="s">
        <v>34</v>
      </c>
      <c r="C71" s="19"/>
      <c r="D71" s="19"/>
      <c r="E71" s="19"/>
      <c r="F71" s="18"/>
      <c r="G71" s="18"/>
      <c r="H71" s="18"/>
      <c r="I71" s="18"/>
      <c r="J71" s="18"/>
      <c r="K71" s="18"/>
      <c r="L71" s="18"/>
      <c r="M71" s="18"/>
      <c r="N71" s="18"/>
      <c r="O71" s="18"/>
      <c r="P71" s="18"/>
      <c r="Q71" s="18"/>
      <c r="R71" s="18"/>
      <c r="S71" s="18"/>
      <c r="T71" s="20" t="s">
        <v>35</v>
      </c>
    </row>
    <row r="72" spans="1:20" x14ac:dyDescent="0.25">
      <c r="A72" s="21" t="s">
        <v>12</v>
      </c>
      <c r="B72" s="22" t="s">
        <v>36</v>
      </c>
      <c r="C72" s="23"/>
      <c r="D72" s="23"/>
      <c r="E72" s="23"/>
      <c r="F72" s="22"/>
      <c r="G72" s="22"/>
      <c r="H72" s="22"/>
      <c r="I72" s="22"/>
      <c r="J72" s="22"/>
      <c r="K72" s="22"/>
      <c r="L72" s="22"/>
      <c r="M72" s="22"/>
      <c r="N72" s="22"/>
      <c r="O72" s="22"/>
      <c r="P72" s="22"/>
      <c r="Q72" s="22"/>
      <c r="R72" s="22"/>
      <c r="S72" s="22"/>
      <c r="T72" s="22"/>
    </row>
    <row r="73" spans="1:20" s="29" customFormat="1" x14ac:dyDescent="0.25">
      <c r="A73" s="25"/>
      <c r="B73" s="26" t="s">
        <v>37</v>
      </c>
      <c r="C73" s="27"/>
      <c r="D73" s="27"/>
      <c r="E73" s="27"/>
      <c r="F73" s="26"/>
      <c r="G73" s="26"/>
      <c r="H73" s="26"/>
      <c r="I73" s="26"/>
      <c r="J73" s="26"/>
      <c r="K73" s="26"/>
      <c r="L73" s="26"/>
      <c r="M73" s="26"/>
      <c r="N73" s="26"/>
      <c r="O73" s="26"/>
      <c r="P73" s="26"/>
      <c r="Q73" s="26"/>
      <c r="R73" s="26"/>
      <c r="S73" s="26"/>
      <c r="T73" s="28"/>
    </row>
    <row r="74" spans="1:20" s="29" customFormat="1" x14ac:dyDescent="0.25">
      <c r="A74" s="25"/>
      <c r="B74" s="26" t="s">
        <v>37</v>
      </c>
      <c r="C74" s="27"/>
      <c r="D74" s="27"/>
      <c r="E74" s="27"/>
      <c r="F74" s="26"/>
      <c r="G74" s="26"/>
      <c r="H74" s="26"/>
      <c r="I74" s="26"/>
      <c r="J74" s="26"/>
      <c r="K74" s="26"/>
      <c r="L74" s="26"/>
      <c r="M74" s="26"/>
      <c r="N74" s="26"/>
      <c r="O74" s="26"/>
      <c r="P74" s="26"/>
      <c r="Q74" s="26"/>
      <c r="R74" s="26"/>
      <c r="S74" s="26"/>
      <c r="T74" s="28"/>
    </row>
    <row r="75" spans="1:20" s="29" customFormat="1" x14ac:dyDescent="0.25">
      <c r="A75" s="25"/>
      <c r="B75" s="26" t="s">
        <v>37</v>
      </c>
      <c r="C75" s="27"/>
      <c r="D75" s="27"/>
      <c r="E75" s="27"/>
      <c r="F75" s="26"/>
      <c r="G75" s="26"/>
      <c r="H75" s="26"/>
      <c r="I75" s="26"/>
      <c r="J75" s="26"/>
      <c r="K75" s="26"/>
      <c r="L75" s="26"/>
      <c r="M75" s="26"/>
      <c r="N75" s="26"/>
      <c r="O75" s="26"/>
      <c r="P75" s="26"/>
      <c r="Q75" s="26"/>
      <c r="R75" s="26"/>
      <c r="S75" s="26"/>
      <c r="T75" s="28"/>
    </row>
    <row r="76" spans="1:20" s="29" customFormat="1" x14ac:dyDescent="0.25">
      <c r="A76" s="25"/>
      <c r="B76" s="26" t="s">
        <v>37</v>
      </c>
      <c r="C76" s="27"/>
      <c r="D76" s="27"/>
      <c r="E76" s="27"/>
      <c r="F76" s="26"/>
      <c r="G76" s="26"/>
      <c r="H76" s="26"/>
      <c r="I76" s="26"/>
      <c r="J76" s="26"/>
      <c r="K76" s="26"/>
      <c r="L76" s="26"/>
      <c r="M76" s="26"/>
      <c r="N76" s="26"/>
      <c r="O76" s="26"/>
      <c r="P76" s="26"/>
      <c r="Q76" s="26"/>
      <c r="R76" s="26"/>
      <c r="S76" s="26"/>
      <c r="T76" s="28"/>
    </row>
    <row r="77" spans="1:20" x14ac:dyDescent="0.25">
      <c r="A77" s="21" t="s">
        <v>14</v>
      </c>
      <c r="B77" s="22" t="s">
        <v>68</v>
      </c>
      <c r="C77" s="23"/>
      <c r="D77" s="23"/>
      <c r="E77" s="23"/>
      <c r="F77" s="22"/>
      <c r="G77" s="22"/>
      <c r="H77" s="22"/>
      <c r="I77" s="22"/>
      <c r="J77" s="22"/>
      <c r="K77" s="22"/>
      <c r="L77" s="22"/>
      <c r="M77" s="22"/>
      <c r="N77" s="22"/>
      <c r="O77" s="22"/>
      <c r="P77" s="22"/>
      <c r="Q77" s="22"/>
      <c r="R77" s="22"/>
      <c r="S77" s="22"/>
      <c r="T77" s="22"/>
    </row>
    <row r="78" spans="1:20" s="29" customFormat="1" x14ac:dyDescent="0.25">
      <c r="A78" s="25"/>
      <c r="B78" s="46" t="s">
        <v>69</v>
      </c>
      <c r="C78" s="27"/>
      <c r="D78" s="27"/>
      <c r="E78" s="27"/>
      <c r="F78" s="26"/>
      <c r="G78" s="26"/>
      <c r="H78" s="26"/>
      <c r="I78" s="26"/>
      <c r="J78" s="26"/>
      <c r="K78" s="26"/>
      <c r="L78" s="26"/>
      <c r="M78" s="26"/>
      <c r="N78" s="26"/>
      <c r="O78" s="26"/>
      <c r="P78" s="26"/>
      <c r="Q78" s="26"/>
      <c r="R78" s="26"/>
      <c r="S78" s="26"/>
      <c r="T78" s="28"/>
    </row>
    <row r="79" spans="1:20" s="29" customFormat="1" x14ac:dyDescent="0.25">
      <c r="A79" s="25"/>
      <c r="B79" s="46" t="s">
        <v>70</v>
      </c>
      <c r="C79" s="27"/>
      <c r="D79" s="27"/>
      <c r="E79" s="27"/>
      <c r="F79" s="26"/>
      <c r="G79" s="26"/>
      <c r="H79" s="26"/>
      <c r="I79" s="26"/>
      <c r="J79" s="26"/>
      <c r="K79" s="26"/>
      <c r="L79" s="26"/>
      <c r="M79" s="26"/>
      <c r="N79" s="26"/>
      <c r="O79" s="26"/>
      <c r="P79" s="26"/>
      <c r="Q79" s="26"/>
      <c r="R79" s="26"/>
      <c r="S79" s="26"/>
      <c r="T79" s="28"/>
    </row>
    <row r="80" spans="1:20" s="29" customFormat="1" x14ac:dyDescent="0.25">
      <c r="A80" s="25"/>
      <c r="B80" s="46" t="s">
        <v>71</v>
      </c>
      <c r="C80" s="27"/>
      <c r="D80" s="27"/>
      <c r="E80" s="27"/>
      <c r="F80" s="26"/>
      <c r="G80" s="26"/>
      <c r="H80" s="26"/>
      <c r="I80" s="26"/>
      <c r="J80" s="26"/>
      <c r="K80" s="26"/>
      <c r="L80" s="26"/>
      <c r="M80" s="26"/>
      <c r="N80" s="26"/>
      <c r="O80" s="26"/>
      <c r="P80" s="26"/>
      <c r="Q80" s="26"/>
      <c r="R80" s="26"/>
      <c r="S80" s="26"/>
      <c r="T80" s="28"/>
    </row>
    <row r="81" spans="1:20" s="29" customFormat="1" x14ac:dyDescent="0.25">
      <c r="A81" s="25"/>
      <c r="B81" s="46" t="s">
        <v>72</v>
      </c>
      <c r="C81" s="27"/>
      <c r="D81" s="27"/>
      <c r="E81" s="27"/>
      <c r="F81" s="26"/>
      <c r="G81" s="26"/>
      <c r="H81" s="26"/>
      <c r="I81" s="26"/>
      <c r="J81" s="26"/>
      <c r="K81" s="26"/>
      <c r="L81" s="26"/>
      <c r="M81" s="26"/>
      <c r="N81" s="26"/>
      <c r="O81" s="26"/>
      <c r="P81" s="26"/>
      <c r="Q81" s="26"/>
      <c r="R81" s="26"/>
      <c r="S81" s="26"/>
      <c r="T81" s="28"/>
    </row>
    <row r="82" spans="1:20" s="29" customFormat="1" x14ac:dyDescent="0.25">
      <c r="A82" s="25"/>
      <c r="B82" s="46" t="s">
        <v>73</v>
      </c>
      <c r="C82" s="27"/>
      <c r="D82" s="27"/>
      <c r="E82" s="27"/>
      <c r="F82" s="26"/>
      <c r="G82" s="26"/>
      <c r="H82" s="26"/>
      <c r="I82" s="26"/>
      <c r="J82" s="26"/>
      <c r="K82" s="26"/>
      <c r="L82" s="26"/>
      <c r="M82" s="26"/>
      <c r="N82" s="26"/>
      <c r="O82" s="26"/>
      <c r="P82" s="26"/>
      <c r="Q82" s="26"/>
      <c r="R82" s="26"/>
      <c r="S82" s="26"/>
      <c r="T82" s="28"/>
    </row>
    <row r="83" spans="1:20" x14ac:dyDescent="0.25">
      <c r="A83" s="21" t="s">
        <v>13</v>
      </c>
      <c r="B83" s="22" t="s">
        <v>43</v>
      </c>
      <c r="C83" s="23"/>
      <c r="D83" s="23"/>
      <c r="E83" s="23"/>
      <c r="F83" s="22"/>
      <c r="G83" s="22"/>
      <c r="H83" s="22"/>
      <c r="I83" s="22"/>
      <c r="J83" s="22"/>
      <c r="K83" s="22"/>
      <c r="L83" s="22"/>
      <c r="M83" s="22"/>
      <c r="N83" s="22"/>
      <c r="O83" s="22"/>
      <c r="P83" s="22"/>
      <c r="Q83" s="22"/>
      <c r="R83" s="22"/>
      <c r="S83" s="22"/>
      <c r="T83" s="22"/>
    </row>
    <row r="84" spans="1:20" s="29" customFormat="1" x14ac:dyDescent="0.25">
      <c r="A84" s="25"/>
      <c r="B84" s="26" t="s">
        <v>44</v>
      </c>
      <c r="C84" s="27"/>
      <c r="D84" s="27"/>
      <c r="E84" s="27"/>
      <c r="F84" s="26"/>
      <c r="G84" s="26"/>
      <c r="H84" s="26"/>
      <c r="I84" s="26"/>
      <c r="J84" s="26"/>
      <c r="K84" s="26"/>
      <c r="L84" s="26"/>
      <c r="M84" s="26"/>
      <c r="N84" s="26"/>
      <c r="O84" s="26"/>
      <c r="P84" s="26"/>
      <c r="Q84" s="26"/>
      <c r="R84" s="26"/>
      <c r="S84" s="26"/>
      <c r="T84" s="28"/>
    </row>
    <row r="85" spans="1:20" s="29" customFormat="1" x14ac:dyDescent="0.25">
      <c r="A85" s="25"/>
      <c r="B85" s="26" t="s">
        <v>44</v>
      </c>
      <c r="C85" s="27"/>
      <c r="D85" s="27"/>
      <c r="E85" s="27"/>
      <c r="F85" s="26"/>
      <c r="G85" s="26"/>
      <c r="H85" s="26"/>
      <c r="I85" s="26"/>
      <c r="J85" s="26"/>
      <c r="K85" s="26"/>
      <c r="L85" s="26"/>
      <c r="M85" s="26"/>
      <c r="N85" s="26"/>
      <c r="O85" s="26"/>
      <c r="P85" s="26"/>
      <c r="Q85" s="26"/>
      <c r="R85" s="26"/>
      <c r="S85" s="26"/>
      <c r="T85" s="28"/>
    </row>
    <row r="86" spans="1:20" s="29" customFormat="1" x14ac:dyDescent="0.25">
      <c r="A86" s="25"/>
      <c r="B86" s="26" t="s">
        <v>44</v>
      </c>
      <c r="C86" s="27"/>
      <c r="D86" s="27"/>
      <c r="E86" s="27"/>
      <c r="F86" s="26"/>
      <c r="G86" s="26"/>
      <c r="H86" s="26"/>
      <c r="I86" s="26"/>
      <c r="J86" s="26"/>
      <c r="K86" s="26"/>
      <c r="L86" s="26"/>
      <c r="M86" s="26"/>
      <c r="N86" s="26"/>
      <c r="O86" s="26"/>
      <c r="P86" s="26"/>
      <c r="Q86" s="26"/>
      <c r="R86" s="26"/>
      <c r="S86" s="26"/>
      <c r="T86" s="28"/>
    </row>
    <row r="87" spans="1:20" s="2" customFormat="1" x14ac:dyDescent="0.25">
      <c r="A87" s="17">
        <v>2</v>
      </c>
      <c r="B87" s="18" t="s">
        <v>45</v>
      </c>
      <c r="C87" s="19"/>
      <c r="D87" s="19"/>
      <c r="E87" s="19"/>
      <c r="F87" s="47">
        <f>F94+F88+F96</f>
        <v>7340</v>
      </c>
      <c r="G87" s="47">
        <f>G94+G88+G96</f>
        <v>0</v>
      </c>
      <c r="H87" s="47">
        <f>H94+H88+H96</f>
        <v>0</v>
      </c>
      <c r="I87" s="47">
        <f>I94+I88+I96</f>
        <v>7340</v>
      </c>
      <c r="J87" s="18"/>
      <c r="K87" s="18"/>
      <c r="L87" s="18"/>
      <c r="M87" s="18"/>
      <c r="N87" s="18"/>
      <c r="O87" s="18"/>
      <c r="P87" s="18"/>
      <c r="Q87" s="18"/>
      <c r="R87" s="18"/>
      <c r="S87" s="18"/>
      <c r="T87" s="18"/>
    </row>
    <row r="88" spans="1:20" x14ac:dyDescent="0.25">
      <c r="A88" s="21" t="s">
        <v>15</v>
      </c>
      <c r="B88" s="22" t="s">
        <v>68</v>
      </c>
      <c r="C88" s="23"/>
      <c r="D88" s="23"/>
      <c r="E88" s="23"/>
      <c r="F88" s="22"/>
      <c r="G88" s="22"/>
      <c r="H88" s="22"/>
      <c r="I88" s="22"/>
      <c r="J88" s="22"/>
      <c r="K88" s="22"/>
      <c r="L88" s="22"/>
      <c r="M88" s="22"/>
      <c r="N88" s="22"/>
      <c r="O88" s="22"/>
      <c r="P88" s="22"/>
      <c r="Q88" s="22"/>
      <c r="R88" s="22"/>
      <c r="S88" s="22"/>
      <c r="T88" s="22"/>
    </row>
    <row r="89" spans="1:20" s="29" customFormat="1" x14ac:dyDescent="0.25">
      <c r="A89" s="25"/>
      <c r="B89" s="46" t="s">
        <v>69</v>
      </c>
      <c r="C89" s="27"/>
      <c r="D89" s="27"/>
      <c r="E89" s="27"/>
      <c r="F89" s="26"/>
      <c r="G89" s="26"/>
      <c r="H89" s="26"/>
      <c r="I89" s="26"/>
      <c r="J89" s="26"/>
      <c r="K89" s="26"/>
      <c r="L89" s="26"/>
      <c r="M89" s="26"/>
      <c r="N89" s="26"/>
      <c r="O89" s="26"/>
      <c r="P89" s="26"/>
      <c r="Q89" s="26"/>
      <c r="R89" s="26"/>
      <c r="S89" s="26"/>
      <c r="T89" s="28"/>
    </row>
    <row r="90" spans="1:20" s="29" customFormat="1" x14ac:dyDescent="0.25">
      <c r="A90" s="25"/>
      <c r="B90" s="46" t="s">
        <v>70</v>
      </c>
      <c r="C90" s="27"/>
      <c r="D90" s="27"/>
      <c r="E90" s="27"/>
      <c r="F90" s="26"/>
      <c r="G90" s="26"/>
      <c r="H90" s="26"/>
      <c r="I90" s="26"/>
      <c r="J90" s="26"/>
      <c r="K90" s="26"/>
      <c r="L90" s="26"/>
      <c r="M90" s="26"/>
      <c r="N90" s="26"/>
      <c r="O90" s="26"/>
      <c r="P90" s="26"/>
      <c r="Q90" s="26"/>
      <c r="R90" s="26"/>
      <c r="S90" s="26"/>
      <c r="T90" s="28"/>
    </row>
    <row r="91" spans="1:20" s="29" customFormat="1" x14ac:dyDescent="0.25">
      <c r="A91" s="25"/>
      <c r="B91" s="46" t="s">
        <v>71</v>
      </c>
      <c r="C91" s="27"/>
      <c r="D91" s="27"/>
      <c r="E91" s="27"/>
      <c r="F91" s="26"/>
      <c r="G91" s="26"/>
      <c r="H91" s="26"/>
      <c r="I91" s="26"/>
      <c r="J91" s="26"/>
      <c r="K91" s="26"/>
      <c r="L91" s="26"/>
      <c r="M91" s="26"/>
      <c r="N91" s="26"/>
      <c r="O91" s="26"/>
      <c r="P91" s="26"/>
      <c r="Q91" s="26"/>
      <c r="R91" s="26"/>
      <c r="S91" s="26"/>
      <c r="T91" s="28"/>
    </row>
    <row r="92" spans="1:20" s="29" customFormat="1" x14ac:dyDescent="0.25">
      <c r="A92" s="25"/>
      <c r="B92" s="46" t="s">
        <v>72</v>
      </c>
      <c r="C92" s="27"/>
      <c r="D92" s="27"/>
      <c r="E92" s="27"/>
      <c r="F92" s="26"/>
      <c r="G92" s="26"/>
      <c r="H92" s="26"/>
      <c r="I92" s="26"/>
      <c r="J92" s="26"/>
      <c r="K92" s="26"/>
      <c r="L92" s="26"/>
      <c r="M92" s="26"/>
      <c r="N92" s="26"/>
      <c r="O92" s="26"/>
      <c r="P92" s="26"/>
      <c r="Q92" s="26"/>
      <c r="R92" s="26"/>
      <c r="S92" s="26"/>
      <c r="T92" s="28"/>
    </row>
    <row r="93" spans="1:20" s="29" customFormat="1" x14ac:dyDescent="0.25">
      <c r="A93" s="25"/>
      <c r="B93" s="46" t="s">
        <v>73</v>
      </c>
      <c r="C93" s="27"/>
      <c r="D93" s="27"/>
      <c r="E93" s="27"/>
      <c r="F93" s="26"/>
      <c r="G93" s="26"/>
      <c r="H93" s="26"/>
      <c r="I93" s="26"/>
      <c r="J93" s="26"/>
      <c r="K93" s="26"/>
      <c r="L93" s="26"/>
      <c r="M93" s="26"/>
      <c r="N93" s="26"/>
      <c r="O93" s="26"/>
      <c r="P93" s="26"/>
      <c r="Q93" s="26"/>
      <c r="R93" s="26"/>
      <c r="S93" s="26"/>
      <c r="T93" s="28"/>
    </row>
    <row r="94" spans="1:20" ht="37.5" x14ac:dyDescent="0.25">
      <c r="A94" s="21" t="s">
        <v>16</v>
      </c>
      <c r="B94" s="32" t="s">
        <v>74</v>
      </c>
      <c r="C94" s="23"/>
      <c r="D94" s="23"/>
      <c r="E94" s="23"/>
      <c r="F94" s="36">
        <f>F95</f>
        <v>12591</v>
      </c>
      <c r="G94" s="22"/>
      <c r="H94" s="22"/>
      <c r="I94" s="36">
        <f>I95</f>
        <v>12591</v>
      </c>
      <c r="J94" s="36"/>
      <c r="K94" s="36"/>
      <c r="L94" s="36"/>
      <c r="M94" s="36"/>
      <c r="N94" s="22"/>
      <c r="O94" s="22"/>
      <c r="P94" s="22"/>
      <c r="Q94" s="22"/>
      <c r="R94" s="22"/>
      <c r="S94" s="22"/>
      <c r="T94" s="22"/>
    </row>
    <row r="95" spans="1:20" ht="56.25" x14ac:dyDescent="0.25">
      <c r="A95" s="21" t="s">
        <v>10</v>
      </c>
      <c r="B95" s="34" t="s">
        <v>50</v>
      </c>
      <c r="C95" s="23"/>
      <c r="D95" s="23"/>
      <c r="E95" s="23"/>
      <c r="F95" s="35">
        <v>12591</v>
      </c>
      <c r="G95" s="22"/>
      <c r="H95" s="22"/>
      <c r="I95" s="35">
        <v>12591</v>
      </c>
      <c r="J95" s="35"/>
      <c r="K95" s="35"/>
      <c r="L95" s="35"/>
      <c r="M95" s="35"/>
      <c r="N95" s="22"/>
      <c r="O95" s="22"/>
      <c r="P95" s="22"/>
      <c r="Q95" s="22"/>
      <c r="R95" s="22"/>
      <c r="S95" s="22"/>
      <c r="T95" s="22"/>
    </row>
    <row r="96" spans="1:20" x14ac:dyDescent="0.25">
      <c r="A96" s="21" t="s">
        <v>48</v>
      </c>
      <c r="B96" s="22" t="s">
        <v>49</v>
      </c>
      <c r="C96" s="23"/>
      <c r="D96" s="23"/>
      <c r="E96" s="23"/>
      <c r="F96" s="36">
        <f>F97</f>
        <v>-5251</v>
      </c>
      <c r="G96" s="22"/>
      <c r="H96" s="22"/>
      <c r="I96" s="36">
        <f>I97</f>
        <v>-5251</v>
      </c>
      <c r="J96" s="36"/>
      <c r="K96" s="36"/>
      <c r="L96" s="36"/>
      <c r="M96" s="36"/>
      <c r="N96" s="22"/>
      <c r="O96" s="22"/>
      <c r="P96" s="22"/>
      <c r="Q96" s="22"/>
      <c r="R96" s="22"/>
      <c r="S96" s="22"/>
      <c r="T96" s="22"/>
    </row>
    <row r="97" spans="1:20" ht="37.5" x14ac:dyDescent="0.25">
      <c r="A97" s="21" t="s">
        <v>10</v>
      </c>
      <c r="B97" s="34" t="s">
        <v>47</v>
      </c>
      <c r="C97" s="23"/>
      <c r="D97" s="23"/>
      <c r="E97" s="23"/>
      <c r="F97" s="35">
        <v>-5251</v>
      </c>
      <c r="G97" s="22"/>
      <c r="H97" s="22"/>
      <c r="I97" s="35">
        <v>-5251</v>
      </c>
      <c r="J97" s="35"/>
      <c r="K97" s="35"/>
      <c r="L97" s="35"/>
      <c r="M97" s="35"/>
      <c r="N97" s="22"/>
      <c r="O97" s="22"/>
      <c r="P97" s="22"/>
      <c r="Q97" s="22"/>
      <c r="R97" s="22"/>
      <c r="S97" s="22"/>
      <c r="T97" s="22"/>
    </row>
    <row r="98" spans="1:20" ht="30" x14ac:dyDescent="0.25">
      <c r="A98" s="17">
        <v>3</v>
      </c>
      <c r="B98" s="18" t="s">
        <v>51</v>
      </c>
      <c r="C98" s="23"/>
      <c r="D98" s="23"/>
      <c r="E98" s="23"/>
      <c r="F98" s="37">
        <f>SUM(F99:F103)</f>
        <v>470295.84353399999</v>
      </c>
      <c r="G98" s="22"/>
      <c r="H98" s="22"/>
      <c r="I98" s="37">
        <f>SUM(I99:I103)</f>
        <v>470295.84353399999</v>
      </c>
      <c r="J98" s="37"/>
      <c r="K98" s="37"/>
      <c r="L98" s="37"/>
      <c r="M98" s="37"/>
      <c r="N98" s="22"/>
      <c r="O98" s="22"/>
      <c r="P98" s="22"/>
      <c r="Q98" s="22"/>
      <c r="R98" s="22"/>
      <c r="S98" s="22"/>
      <c r="T98" s="20" t="s">
        <v>35</v>
      </c>
    </row>
    <row r="99" spans="1:20" s="29" customFormat="1" x14ac:dyDescent="0.25">
      <c r="A99" s="25" t="s">
        <v>17</v>
      </c>
      <c r="B99" s="46" t="s">
        <v>69</v>
      </c>
      <c r="C99" s="27"/>
      <c r="D99" s="27"/>
      <c r="E99" s="27"/>
      <c r="F99" s="38">
        <v>11492</v>
      </c>
      <c r="G99" s="26"/>
      <c r="H99" s="26"/>
      <c r="I99" s="38">
        <v>11492</v>
      </c>
      <c r="J99" s="38"/>
      <c r="K99" s="38"/>
      <c r="L99" s="38"/>
      <c r="M99" s="38"/>
      <c r="N99" s="26"/>
      <c r="O99" s="26"/>
      <c r="P99" s="26"/>
      <c r="Q99" s="26"/>
      <c r="R99" s="26"/>
      <c r="S99" s="26"/>
      <c r="T99" s="26"/>
    </row>
    <row r="100" spans="1:20" s="29" customFormat="1" x14ac:dyDescent="0.25">
      <c r="A100" s="25" t="s">
        <v>18</v>
      </c>
      <c r="B100" s="46" t="s">
        <v>70</v>
      </c>
      <c r="C100" s="27"/>
      <c r="D100" s="27"/>
      <c r="E100" s="27"/>
      <c r="F100" s="38">
        <v>12400</v>
      </c>
      <c r="G100" s="26"/>
      <c r="H100" s="26"/>
      <c r="I100" s="38">
        <v>12400</v>
      </c>
      <c r="J100" s="38"/>
      <c r="K100" s="38"/>
      <c r="L100" s="38"/>
      <c r="M100" s="38"/>
      <c r="N100" s="26"/>
      <c r="O100" s="26"/>
      <c r="P100" s="26"/>
      <c r="Q100" s="26"/>
      <c r="R100" s="26"/>
      <c r="S100" s="26"/>
      <c r="T100" s="26"/>
    </row>
    <row r="101" spans="1:20" s="29" customFormat="1" x14ac:dyDescent="0.25">
      <c r="A101" s="25" t="s">
        <v>53</v>
      </c>
      <c r="B101" s="46" t="s">
        <v>71</v>
      </c>
      <c r="C101" s="27"/>
      <c r="D101" s="27"/>
      <c r="E101" s="27"/>
      <c r="F101" s="38">
        <v>8691</v>
      </c>
      <c r="G101" s="26"/>
      <c r="H101" s="26"/>
      <c r="I101" s="38">
        <v>8691</v>
      </c>
      <c r="J101" s="38"/>
      <c r="K101" s="38"/>
      <c r="L101" s="38"/>
      <c r="M101" s="38"/>
      <c r="N101" s="26"/>
      <c r="O101" s="26"/>
      <c r="P101" s="26"/>
      <c r="Q101" s="26"/>
      <c r="R101" s="26"/>
      <c r="S101" s="26"/>
      <c r="T101" s="26"/>
    </row>
    <row r="102" spans="1:20" s="29" customFormat="1" x14ac:dyDescent="0.25">
      <c r="A102" s="25" t="s">
        <v>54</v>
      </c>
      <c r="B102" s="46" t="s">
        <v>72</v>
      </c>
      <c r="C102" s="27"/>
      <c r="D102" s="27"/>
      <c r="E102" s="27"/>
      <c r="F102" s="38">
        <v>28993.566483999999</v>
      </c>
      <c r="G102" s="26"/>
      <c r="H102" s="26"/>
      <c r="I102" s="38">
        <v>28993.566483999999</v>
      </c>
      <c r="J102" s="38"/>
      <c r="K102" s="38"/>
      <c r="L102" s="38"/>
      <c r="M102" s="38"/>
      <c r="N102" s="26"/>
      <c r="O102" s="26"/>
      <c r="P102" s="26"/>
      <c r="Q102" s="26"/>
      <c r="R102" s="26"/>
      <c r="S102" s="26"/>
      <c r="T102" s="26"/>
    </row>
    <row r="103" spans="1:20" s="29" customFormat="1" x14ac:dyDescent="0.25">
      <c r="A103" s="25" t="s">
        <v>64</v>
      </c>
      <c r="B103" s="46" t="s">
        <v>73</v>
      </c>
      <c r="C103" s="27"/>
      <c r="D103" s="27"/>
      <c r="E103" s="27"/>
      <c r="F103" s="38">
        <v>408719.27704999998</v>
      </c>
      <c r="G103" s="26"/>
      <c r="H103" s="26"/>
      <c r="I103" s="38">
        <v>408719.27704999998</v>
      </c>
      <c r="J103" s="38"/>
      <c r="K103" s="38"/>
      <c r="L103" s="38"/>
      <c r="M103" s="38"/>
      <c r="N103" s="26"/>
      <c r="O103" s="26"/>
      <c r="P103" s="26"/>
      <c r="Q103" s="26"/>
      <c r="R103" s="26"/>
      <c r="S103" s="26"/>
      <c r="T103" s="26"/>
    </row>
    <row r="104" spans="1:20" s="16" customFormat="1" x14ac:dyDescent="0.25">
      <c r="A104" s="11" t="s">
        <v>5</v>
      </c>
      <c r="B104" s="12" t="s">
        <v>75</v>
      </c>
      <c r="C104" s="13">
        <v>430615.67346899997</v>
      </c>
      <c r="D104" s="13">
        <v>354789.65252399998</v>
      </c>
      <c r="E104" s="13">
        <v>75826.020944999997</v>
      </c>
      <c r="F104" s="14">
        <f>F133</f>
        <v>440284</v>
      </c>
      <c r="G104" s="14">
        <f>G133</f>
        <v>0</v>
      </c>
      <c r="H104" s="14">
        <f>H133</f>
        <v>0</v>
      </c>
      <c r="I104" s="14">
        <f>I133</f>
        <v>440284</v>
      </c>
      <c r="J104" s="14">
        <f>F104-C104</f>
        <v>9668.3265310000279</v>
      </c>
      <c r="K104" s="14">
        <f>G104</f>
        <v>0</v>
      </c>
      <c r="L104" s="14">
        <f>H104-D104</f>
        <v>-354789.65252399998</v>
      </c>
      <c r="M104" s="14">
        <f>I104-E104</f>
        <v>364457.979055</v>
      </c>
      <c r="N104" s="12"/>
      <c r="O104" s="12"/>
      <c r="P104" s="12"/>
      <c r="Q104" s="12"/>
      <c r="R104" s="12"/>
      <c r="S104" s="12"/>
      <c r="T104" s="12"/>
    </row>
    <row r="105" spans="1:20" s="2" customFormat="1" x14ac:dyDescent="0.25">
      <c r="A105" s="17">
        <v>1</v>
      </c>
      <c r="B105" s="18" t="s">
        <v>34</v>
      </c>
      <c r="C105" s="19"/>
      <c r="D105" s="19"/>
      <c r="E105" s="19"/>
      <c r="F105" s="18"/>
      <c r="G105" s="18"/>
      <c r="H105" s="18"/>
      <c r="I105" s="18"/>
      <c r="J105" s="18"/>
      <c r="K105" s="18"/>
      <c r="L105" s="18"/>
      <c r="M105" s="18"/>
      <c r="N105" s="18"/>
      <c r="O105" s="18"/>
      <c r="P105" s="18"/>
      <c r="Q105" s="18"/>
      <c r="R105" s="18"/>
      <c r="S105" s="18"/>
      <c r="T105" s="20"/>
    </row>
    <row r="106" spans="1:20" x14ac:dyDescent="0.25">
      <c r="A106" s="21" t="s">
        <v>12</v>
      </c>
      <c r="B106" s="22" t="s">
        <v>36</v>
      </c>
      <c r="C106" s="23"/>
      <c r="D106" s="23"/>
      <c r="E106" s="23"/>
      <c r="F106" s="22"/>
      <c r="G106" s="22"/>
      <c r="H106" s="22"/>
      <c r="I106" s="22"/>
      <c r="J106" s="22"/>
      <c r="K106" s="22"/>
      <c r="L106" s="22"/>
      <c r="M106" s="22"/>
      <c r="N106" s="22"/>
      <c r="O106" s="22"/>
      <c r="P106" s="22"/>
      <c r="Q106" s="22"/>
      <c r="R106" s="22"/>
      <c r="S106" s="22"/>
      <c r="T106" s="22"/>
    </row>
    <row r="107" spans="1:20" s="29" customFormat="1" x14ac:dyDescent="0.25">
      <c r="A107" s="25"/>
      <c r="B107" s="26" t="s">
        <v>37</v>
      </c>
      <c r="C107" s="27"/>
      <c r="D107" s="27"/>
      <c r="E107" s="27"/>
      <c r="F107" s="26"/>
      <c r="G107" s="26"/>
      <c r="H107" s="26"/>
      <c r="I107" s="26"/>
      <c r="J107" s="26"/>
      <c r="K107" s="26"/>
      <c r="L107" s="26"/>
      <c r="M107" s="26"/>
      <c r="N107" s="26"/>
      <c r="O107" s="26"/>
      <c r="P107" s="26"/>
      <c r="Q107" s="26"/>
      <c r="R107" s="26"/>
      <c r="S107" s="26"/>
      <c r="T107" s="28"/>
    </row>
    <row r="108" spans="1:20" s="29" customFormat="1" x14ac:dyDescent="0.25">
      <c r="A108" s="25"/>
      <c r="B108" s="26" t="s">
        <v>37</v>
      </c>
      <c r="C108" s="27"/>
      <c r="D108" s="27"/>
      <c r="E108" s="27"/>
      <c r="F108" s="26"/>
      <c r="G108" s="26"/>
      <c r="H108" s="26"/>
      <c r="I108" s="26"/>
      <c r="J108" s="26"/>
      <c r="K108" s="26"/>
      <c r="L108" s="26"/>
      <c r="M108" s="26"/>
      <c r="N108" s="26"/>
      <c r="O108" s="26"/>
      <c r="P108" s="26"/>
      <c r="Q108" s="26"/>
      <c r="R108" s="26"/>
      <c r="S108" s="26"/>
      <c r="T108" s="28"/>
    </row>
    <row r="109" spans="1:20" s="29" customFormat="1" x14ac:dyDescent="0.25">
      <c r="A109" s="25"/>
      <c r="B109" s="26" t="s">
        <v>37</v>
      </c>
      <c r="C109" s="27"/>
      <c r="D109" s="27"/>
      <c r="E109" s="27"/>
      <c r="F109" s="26"/>
      <c r="G109" s="26"/>
      <c r="H109" s="26"/>
      <c r="I109" s="26"/>
      <c r="J109" s="26"/>
      <c r="K109" s="26"/>
      <c r="L109" s="26"/>
      <c r="M109" s="26"/>
      <c r="N109" s="26"/>
      <c r="O109" s="26"/>
      <c r="P109" s="26"/>
      <c r="Q109" s="26"/>
      <c r="R109" s="26"/>
      <c r="S109" s="26"/>
      <c r="T109" s="28"/>
    </row>
    <row r="110" spans="1:20" s="29" customFormat="1" x14ac:dyDescent="0.25">
      <c r="A110" s="25"/>
      <c r="B110" s="26" t="s">
        <v>37</v>
      </c>
      <c r="C110" s="27"/>
      <c r="D110" s="27"/>
      <c r="E110" s="27"/>
      <c r="F110" s="26"/>
      <c r="G110" s="26"/>
      <c r="H110" s="26"/>
      <c r="I110" s="26"/>
      <c r="J110" s="26"/>
      <c r="K110" s="26"/>
      <c r="L110" s="26"/>
      <c r="M110" s="26"/>
      <c r="N110" s="26"/>
      <c r="O110" s="26"/>
      <c r="P110" s="26"/>
      <c r="Q110" s="26"/>
      <c r="R110" s="26"/>
      <c r="S110" s="26"/>
      <c r="T110" s="28"/>
    </row>
    <row r="111" spans="1:20" x14ac:dyDescent="0.25">
      <c r="A111" s="21" t="s">
        <v>14</v>
      </c>
      <c r="B111" s="22" t="s">
        <v>68</v>
      </c>
      <c r="C111" s="23"/>
      <c r="D111" s="23"/>
      <c r="E111" s="23"/>
      <c r="F111" s="22"/>
      <c r="G111" s="22"/>
      <c r="H111" s="22"/>
      <c r="I111" s="22"/>
      <c r="J111" s="22"/>
      <c r="K111" s="22"/>
      <c r="L111" s="22"/>
      <c r="M111" s="22"/>
      <c r="N111" s="22"/>
      <c r="O111" s="22"/>
      <c r="P111" s="22"/>
      <c r="Q111" s="22"/>
      <c r="R111" s="22"/>
      <c r="S111" s="22"/>
      <c r="T111" s="22"/>
    </row>
    <row r="112" spans="1:20" s="29" customFormat="1" x14ac:dyDescent="0.25">
      <c r="A112" s="25"/>
      <c r="B112" s="46" t="s">
        <v>76</v>
      </c>
      <c r="C112" s="27"/>
      <c r="D112" s="27"/>
      <c r="E112" s="27"/>
      <c r="F112" s="26"/>
      <c r="G112" s="26"/>
      <c r="H112" s="26"/>
      <c r="I112" s="26"/>
      <c r="J112" s="26"/>
      <c r="K112" s="26"/>
      <c r="L112" s="26"/>
      <c r="M112" s="26"/>
      <c r="N112" s="26"/>
      <c r="O112" s="26"/>
      <c r="P112" s="26"/>
      <c r="Q112" s="26"/>
      <c r="R112" s="26"/>
      <c r="S112" s="26"/>
      <c r="T112" s="28"/>
    </row>
    <row r="113" spans="1:20" s="29" customFormat="1" x14ac:dyDescent="0.25">
      <c r="A113" s="25"/>
      <c r="B113" s="46" t="s">
        <v>77</v>
      </c>
      <c r="C113" s="27"/>
      <c r="D113" s="27"/>
      <c r="E113" s="27"/>
      <c r="F113" s="26"/>
      <c r="G113" s="26"/>
      <c r="H113" s="26"/>
      <c r="I113" s="26"/>
      <c r="J113" s="26"/>
      <c r="K113" s="26"/>
      <c r="L113" s="26"/>
      <c r="M113" s="26"/>
      <c r="N113" s="26"/>
      <c r="O113" s="26"/>
      <c r="P113" s="26"/>
      <c r="Q113" s="26"/>
      <c r="R113" s="26"/>
      <c r="S113" s="26"/>
      <c r="T113" s="28"/>
    </row>
    <row r="114" spans="1:20" s="29" customFormat="1" x14ac:dyDescent="0.25">
      <c r="A114" s="25"/>
      <c r="B114" s="46" t="s">
        <v>78</v>
      </c>
      <c r="C114" s="27"/>
      <c r="D114" s="27"/>
      <c r="E114" s="27"/>
      <c r="F114" s="26"/>
      <c r="G114" s="26"/>
      <c r="H114" s="26"/>
      <c r="I114" s="26"/>
      <c r="J114" s="26"/>
      <c r="K114" s="26"/>
      <c r="L114" s="26"/>
      <c r="M114" s="26"/>
      <c r="N114" s="26"/>
      <c r="O114" s="26"/>
      <c r="P114" s="26"/>
      <c r="Q114" s="26"/>
      <c r="R114" s="26"/>
      <c r="S114" s="26"/>
      <c r="T114" s="28"/>
    </row>
    <row r="115" spans="1:20" s="29" customFormat="1" x14ac:dyDescent="0.25">
      <c r="A115" s="25"/>
      <c r="B115" s="46" t="s">
        <v>79</v>
      </c>
      <c r="C115" s="27"/>
      <c r="D115" s="27"/>
      <c r="E115" s="27"/>
      <c r="F115" s="26"/>
      <c r="G115" s="26"/>
      <c r="H115" s="26"/>
      <c r="I115" s="26"/>
      <c r="J115" s="26"/>
      <c r="K115" s="26"/>
      <c r="L115" s="26"/>
      <c r="M115" s="26"/>
      <c r="N115" s="26"/>
      <c r="O115" s="26"/>
      <c r="P115" s="26"/>
      <c r="Q115" s="26"/>
      <c r="R115" s="26"/>
      <c r="S115" s="26"/>
      <c r="T115" s="28"/>
    </row>
    <row r="116" spans="1:20" s="29" customFormat="1" x14ac:dyDescent="0.25">
      <c r="A116" s="25"/>
      <c r="B116" s="46" t="s">
        <v>80</v>
      </c>
      <c r="C116" s="27"/>
      <c r="D116" s="27"/>
      <c r="E116" s="27"/>
      <c r="F116" s="26"/>
      <c r="G116" s="26"/>
      <c r="H116" s="26"/>
      <c r="I116" s="26"/>
      <c r="J116" s="26"/>
      <c r="K116" s="26"/>
      <c r="L116" s="26"/>
      <c r="M116" s="26"/>
      <c r="N116" s="26"/>
      <c r="O116" s="26"/>
      <c r="P116" s="26"/>
      <c r="Q116" s="26"/>
      <c r="R116" s="26"/>
      <c r="S116" s="26"/>
      <c r="T116" s="28"/>
    </row>
    <row r="117" spans="1:20" s="29" customFormat="1" x14ac:dyDescent="0.25">
      <c r="A117" s="25"/>
      <c r="B117" s="46" t="s">
        <v>81</v>
      </c>
      <c r="C117" s="27"/>
      <c r="D117" s="27"/>
      <c r="E117" s="27"/>
      <c r="F117" s="26"/>
      <c r="G117" s="26"/>
      <c r="H117" s="26"/>
      <c r="I117" s="26"/>
      <c r="J117" s="26"/>
      <c r="K117" s="26"/>
      <c r="L117" s="26"/>
      <c r="M117" s="26"/>
      <c r="N117" s="26"/>
      <c r="O117" s="26"/>
      <c r="P117" s="26"/>
      <c r="Q117" s="26"/>
      <c r="R117" s="26"/>
      <c r="S117" s="26"/>
      <c r="T117" s="28"/>
    </row>
    <row r="118" spans="1:20" x14ac:dyDescent="0.25">
      <c r="A118" s="21" t="s">
        <v>13</v>
      </c>
      <c r="B118" s="22" t="s">
        <v>43</v>
      </c>
      <c r="C118" s="23"/>
      <c r="D118" s="23"/>
      <c r="E118" s="23"/>
      <c r="F118" s="22"/>
      <c r="G118" s="22"/>
      <c r="H118" s="22"/>
      <c r="I118" s="22"/>
      <c r="J118" s="22"/>
      <c r="K118" s="22"/>
      <c r="L118" s="22"/>
      <c r="M118" s="22"/>
      <c r="N118" s="22"/>
      <c r="O118" s="22"/>
      <c r="P118" s="22"/>
      <c r="Q118" s="22"/>
      <c r="R118" s="22"/>
      <c r="S118" s="22"/>
      <c r="T118" s="22"/>
    </row>
    <row r="119" spans="1:20" s="29" customFormat="1" x14ac:dyDescent="0.25">
      <c r="A119" s="25"/>
      <c r="B119" s="26" t="s">
        <v>44</v>
      </c>
      <c r="C119" s="27"/>
      <c r="D119" s="27"/>
      <c r="E119" s="27"/>
      <c r="F119" s="26"/>
      <c r="G119" s="26"/>
      <c r="H119" s="26"/>
      <c r="I119" s="26"/>
      <c r="J119" s="26"/>
      <c r="K119" s="26"/>
      <c r="L119" s="26"/>
      <c r="M119" s="26"/>
      <c r="N119" s="26"/>
      <c r="O119" s="26"/>
      <c r="P119" s="26"/>
      <c r="Q119" s="26"/>
      <c r="R119" s="26"/>
      <c r="S119" s="26"/>
      <c r="T119" s="28"/>
    </row>
    <row r="120" spans="1:20" s="29" customFormat="1" x14ac:dyDescent="0.25">
      <c r="A120" s="25"/>
      <c r="B120" s="26" t="s">
        <v>44</v>
      </c>
      <c r="C120" s="27"/>
      <c r="D120" s="27"/>
      <c r="E120" s="27"/>
      <c r="F120" s="26"/>
      <c r="G120" s="26"/>
      <c r="H120" s="26"/>
      <c r="I120" s="26"/>
      <c r="J120" s="26"/>
      <c r="K120" s="26"/>
      <c r="L120" s="26"/>
      <c r="M120" s="26"/>
      <c r="N120" s="26"/>
      <c r="O120" s="26"/>
      <c r="P120" s="26"/>
      <c r="Q120" s="26"/>
      <c r="R120" s="26"/>
      <c r="S120" s="26"/>
      <c r="T120" s="28"/>
    </row>
    <row r="121" spans="1:20" s="29" customFormat="1" x14ac:dyDescent="0.25">
      <c r="A121" s="25"/>
      <c r="B121" s="26" t="s">
        <v>44</v>
      </c>
      <c r="C121" s="27"/>
      <c r="D121" s="27"/>
      <c r="E121" s="27"/>
      <c r="F121" s="26"/>
      <c r="G121" s="26"/>
      <c r="H121" s="26"/>
      <c r="I121" s="26"/>
      <c r="J121" s="26"/>
      <c r="K121" s="26"/>
      <c r="L121" s="26"/>
      <c r="M121" s="26"/>
      <c r="N121" s="26"/>
      <c r="O121" s="26"/>
      <c r="P121" s="26"/>
      <c r="Q121" s="26"/>
      <c r="R121" s="26"/>
      <c r="S121" s="26"/>
      <c r="T121" s="28"/>
    </row>
    <row r="122" spans="1:20" s="2" customFormat="1" x14ac:dyDescent="0.25">
      <c r="A122" s="17">
        <v>2</v>
      </c>
      <c r="B122" s="18" t="s">
        <v>45</v>
      </c>
      <c r="C122" s="19"/>
      <c r="D122" s="19"/>
      <c r="E122" s="19"/>
      <c r="F122" s="47">
        <f>F130+F123+F132</f>
        <v>9667</v>
      </c>
      <c r="G122" s="18"/>
      <c r="H122" s="18"/>
      <c r="I122" s="47">
        <f>I130+I123+I132</f>
        <v>9667</v>
      </c>
      <c r="J122" s="18"/>
      <c r="K122" s="18"/>
      <c r="L122" s="18"/>
      <c r="M122" s="18"/>
      <c r="N122" s="18"/>
      <c r="O122" s="18"/>
      <c r="P122" s="18"/>
      <c r="Q122" s="18"/>
      <c r="R122" s="18"/>
      <c r="S122" s="18"/>
      <c r="T122" s="18"/>
    </row>
    <row r="123" spans="1:20" x14ac:dyDescent="0.25">
      <c r="A123" s="21" t="s">
        <v>15</v>
      </c>
      <c r="B123" s="22" t="s">
        <v>68</v>
      </c>
      <c r="C123" s="23"/>
      <c r="D123" s="23"/>
      <c r="E123" s="23"/>
      <c r="F123" s="22"/>
      <c r="G123" s="22"/>
      <c r="H123" s="22"/>
      <c r="I123" s="22"/>
      <c r="J123" s="22"/>
      <c r="K123" s="22"/>
      <c r="L123" s="22"/>
      <c r="M123" s="22"/>
      <c r="N123" s="22"/>
      <c r="O123" s="22"/>
      <c r="P123" s="22"/>
      <c r="Q123" s="22"/>
      <c r="R123" s="22"/>
      <c r="S123" s="22"/>
      <c r="T123" s="22"/>
    </row>
    <row r="124" spans="1:20" s="29" customFormat="1" x14ac:dyDescent="0.25">
      <c r="A124" s="25"/>
      <c r="B124" s="46" t="s">
        <v>76</v>
      </c>
      <c r="C124" s="27"/>
      <c r="D124" s="27"/>
      <c r="E124" s="27"/>
      <c r="F124" s="26"/>
      <c r="G124" s="26"/>
      <c r="H124" s="26"/>
      <c r="I124" s="26"/>
      <c r="J124" s="26"/>
      <c r="K124" s="26"/>
      <c r="L124" s="26"/>
      <c r="M124" s="26"/>
      <c r="N124" s="26"/>
      <c r="O124" s="26"/>
      <c r="P124" s="26"/>
      <c r="Q124" s="26"/>
      <c r="R124" s="26"/>
      <c r="S124" s="26"/>
      <c r="T124" s="28"/>
    </row>
    <row r="125" spans="1:20" s="29" customFormat="1" x14ac:dyDescent="0.25">
      <c r="A125" s="25"/>
      <c r="B125" s="46" t="s">
        <v>77</v>
      </c>
      <c r="C125" s="27"/>
      <c r="D125" s="27"/>
      <c r="E125" s="27"/>
      <c r="F125" s="26"/>
      <c r="G125" s="26"/>
      <c r="H125" s="26"/>
      <c r="I125" s="26"/>
      <c r="J125" s="26"/>
      <c r="K125" s="26"/>
      <c r="L125" s="26"/>
      <c r="M125" s="26"/>
      <c r="N125" s="26"/>
      <c r="O125" s="26"/>
      <c r="P125" s="26"/>
      <c r="Q125" s="26"/>
      <c r="R125" s="26"/>
      <c r="S125" s="26"/>
      <c r="T125" s="28"/>
    </row>
    <row r="126" spans="1:20" s="29" customFormat="1" x14ac:dyDescent="0.25">
      <c r="A126" s="25"/>
      <c r="B126" s="46" t="s">
        <v>78</v>
      </c>
      <c r="C126" s="27"/>
      <c r="D126" s="27"/>
      <c r="E126" s="27"/>
      <c r="F126" s="26"/>
      <c r="G126" s="26"/>
      <c r="H126" s="26"/>
      <c r="I126" s="26"/>
      <c r="J126" s="26"/>
      <c r="K126" s="26"/>
      <c r="L126" s="26"/>
      <c r="M126" s="26"/>
      <c r="N126" s="26"/>
      <c r="O126" s="26"/>
      <c r="P126" s="26"/>
      <c r="Q126" s="26"/>
      <c r="R126" s="26"/>
      <c r="S126" s="26"/>
      <c r="T126" s="28"/>
    </row>
    <row r="127" spans="1:20" s="29" customFormat="1" x14ac:dyDescent="0.25">
      <c r="A127" s="25"/>
      <c r="B127" s="46" t="s">
        <v>79</v>
      </c>
      <c r="C127" s="27"/>
      <c r="D127" s="27"/>
      <c r="E127" s="27"/>
      <c r="F127" s="26"/>
      <c r="G127" s="26"/>
      <c r="H127" s="26"/>
      <c r="I127" s="26"/>
      <c r="J127" s="26"/>
      <c r="K127" s="26"/>
      <c r="L127" s="26"/>
      <c r="M127" s="26"/>
      <c r="N127" s="26"/>
      <c r="O127" s="26"/>
      <c r="P127" s="26"/>
      <c r="Q127" s="26"/>
      <c r="R127" s="26"/>
      <c r="S127" s="26"/>
      <c r="T127" s="28"/>
    </row>
    <row r="128" spans="1:20" s="29" customFormat="1" x14ac:dyDescent="0.25">
      <c r="A128" s="25"/>
      <c r="B128" s="46" t="s">
        <v>80</v>
      </c>
      <c r="C128" s="27"/>
      <c r="D128" s="27"/>
      <c r="E128" s="27"/>
      <c r="F128" s="26"/>
      <c r="G128" s="26"/>
      <c r="H128" s="26"/>
      <c r="I128" s="26"/>
      <c r="J128" s="26"/>
      <c r="K128" s="26"/>
      <c r="L128" s="26"/>
      <c r="M128" s="26"/>
      <c r="N128" s="26"/>
      <c r="O128" s="26"/>
      <c r="P128" s="26"/>
      <c r="Q128" s="26"/>
      <c r="R128" s="26"/>
      <c r="S128" s="26"/>
      <c r="T128" s="28"/>
    </row>
    <row r="129" spans="1:20" s="29" customFormat="1" x14ac:dyDescent="0.25">
      <c r="A129" s="25"/>
      <c r="B129" s="46" t="s">
        <v>81</v>
      </c>
      <c r="C129" s="27"/>
      <c r="D129" s="27"/>
      <c r="E129" s="27"/>
      <c r="F129" s="26"/>
      <c r="G129" s="26"/>
      <c r="H129" s="26"/>
      <c r="I129" s="26"/>
      <c r="J129" s="26"/>
      <c r="K129" s="26"/>
      <c r="L129" s="26"/>
      <c r="M129" s="26"/>
      <c r="N129" s="26"/>
      <c r="O129" s="26"/>
      <c r="P129" s="26"/>
      <c r="Q129" s="26"/>
      <c r="R129" s="26"/>
      <c r="S129" s="26"/>
      <c r="T129" s="28"/>
    </row>
    <row r="130" spans="1:20" ht="37.5" x14ac:dyDescent="0.25">
      <c r="A130" s="21" t="s">
        <v>16</v>
      </c>
      <c r="B130" s="32" t="s">
        <v>74</v>
      </c>
      <c r="C130" s="23"/>
      <c r="D130" s="23"/>
      <c r="E130" s="23"/>
      <c r="F130" s="48">
        <f>F131</f>
        <v>9667</v>
      </c>
      <c r="G130" s="48">
        <f>G131</f>
        <v>0</v>
      </c>
      <c r="H130" s="48">
        <f>H131</f>
        <v>0</v>
      </c>
      <c r="I130" s="48">
        <f>I131</f>
        <v>9667</v>
      </c>
      <c r="J130" s="22"/>
      <c r="K130" s="22"/>
      <c r="L130" s="22"/>
      <c r="M130" s="22"/>
      <c r="N130" s="22"/>
      <c r="O130" s="22"/>
      <c r="P130" s="22"/>
      <c r="Q130" s="22"/>
      <c r="R130" s="22"/>
      <c r="S130" s="22"/>
      <c r="T130" s="22"/>
    </row>
    <row r="131" spans="1:20" ht="56.25" x14ac:dyDescent="0.25">
      <c r="A131" s="21"/>
      <c r="B131" s="34" t="s">
        <v>82</v>
      </c>
      <c r="C131" s="23"/>
      <c r="D131" s="23"/>
      <c r="E131" s="23"/>
      <c r="F131" s="38">
        <v>9667</v>
      </c>
      <c r="G131" s="26"/>
      <c r="H131" s="26"/>
      <c r="I131" s="38">
        <v>9667</v>
      </c>
      <c r="J131" s="22"/>
      <c r="K131" s="22"/>
      <c r="L131" s="22"/>
      <c r="M131" s="22"/>
      <c r="N131" s="22"/>
      <c r="O131" s="22"/>
      <c r="P131" s="22"/>
      <c r="Q131" s="22"/>
      <c r="R131" s="22"/>
      <c r="S131" s="22"/>
      <c r="T131" s="22"/>
    </row>
    <row r="132" spans="1:20" x14ac:dyDescent="0.25">
      <c r="A132" s="21" t="s">
        <v>48</v>
      </c>
      <c r="B132" s="22" t="s">
        <v>49</v>
      </c>
      <c r="C132" s="23"/>
      <c r="D132" s="23"/>
      <c r="E132" s="23"/>
      <c r="F132" s="22"/>
      <c r="G132" s="22"/>
      <c r="H132" s="22"/>
      <c r="I132" s="22"/>
      <c r="J132" s="22"/>
      <c r="K132" s="22"/>
      <c r="L132" s="22"/>
      <c r="M132" s="22"/>
      <c r="N132" s="22"/>
      <c r="O132" s="22"/>
      <c r="P132" s="22"/>
      <c r="Q132" s="22"/>
      <c r="R132" s="22"/>
      <c r="S132" s="22"/>
      <c r="T132" s="22"/>
    </row>
    <row r="133" spans="1:20" ht="30" x14ac:dyDescent="0.25">
      <c r="A133" s="17">
        <v>3</v>
      </c>
      <c r="B133" s="18" t="s">
        <v>51</v>
      </c>
      <c r="C133" s="23"/>
      <c r="D133" s="23"/>
      <c r="E133" s="23"/>
      <c r="F133" s="37">
        <f>SUM(F134:F139)</f>
        <v>440284</v>
      </c>
      <c r="G133" s="22"/>
      <c r="H133" s="22"/>
      <c r="I133" s="37">
        <f>SUM(I134:I139)</f>
        <v>440284</v>
      </c>
      <c r="J133" s="37"/>
      <c r="K133" s="37"/>
      <c r="L133" s="37"/>
      <c r="M133" s="37"/>
      <c r="N133" s="22"/>
      <c r="O133" s="22"/>
      <c r="P133" s="22"/>
      <c r="Q133" s="22"/>
      <c r="R133" s="22"/>
      <c r="S133" s="22"/>
      <c r="T133" s="20" t="s">
        <v>35</v>
      </c>
    </row>
    <row r="134" spans="1:20" s="29" customFormat="1" x14ac:dyDescent="0.25">
      <c r="A134" s="25" t="s">
        <v>17</v>
      </c>
      <c r="B134" s="46" t="s">
        <v>76</v>
      </c>
      <c r="C134" s="27"/>
      <c r="D134" s="27"/>
      <c r="E134" s="27"/>
      <c r="F134" s="38">
        <v>275744</v>
      </c>
      <c r="G134" s="26"/>
      <c r="H134" s="26"/>
      <c r="I134" s="38">
        <v>275744</v>
      </c>
      <c r="J134" s="38"/>
      <c r="K134" s="38"/>
      <c r="L134" s="38"/>
      <c r="M134" s="38"/>
      <c r="N134" s="26"/>
      <c r="O134" s="26"/>
      <c r="P134" s="26"/>
      <c r="Q134" s="26"/>
      <c r="R134" s="26"/>
      <c r="S134" s="26"/>
      <c r="T134" s="26"/>
    </row>
    <row r="135" spans="1:20" s="29" customFormat="1" x14ac:dyDescent="0.25">
      <c r="A135" s="25" t="s">
        <v>18</v>
      </c>
      <c r="B135" s="46" t="s">
        <v>77</v>
      </c>
      <c r="C135" s="27"/>
      <c r="D135" s="27"/>
      <c r="E135" s="27"/>
      <c r="F135" s="38">
        <v>27666</v>
      </c>
      <c r="G135" s="26"/>
      <c r="H135" s="26"/>
      <c r="I135" s="38">
        <v>27666</v>
      </c>
      <c r="J135" s="38"/>
      <c r="K135" s="38"/>
      <c r="L135" s="38"/>
      <c r="M135" s="38"/>
      <c r="N135" s="26"/>
      <c r="O135" s="26"/>
      <c r="P135" s="26"/>
      <c r="Q135" s="26"/>
      <c r="R135" s="26"/>
      <c r="S135" s="26"/>
      <c r="T135" s="26"/>
    </row>
    <row r="136" spans="1:20" s="29" customFormat="1" x14ac:dyDescent="0.25">
      <c r="A136" s="25" t="s">
        <v>53</v>
      </c>
      <c r="B136" s="46" t="s">
        <v>78</v>
      </c>
      <c r="C136" s="27"/>
      <c r="D136" s="27"/>
      <c r="E136" s="27"/>
      <c r="F136" s="38">
        <v>22419</v>
      </c>
      <c r="G136" s="26"/>
      <c r="H136" s="26"/>
      <c r="I136" s="38">
        <v>22419</v>
      </c>
      <c r="J136" s="38"/>
      <c r="K136" s="38"/>
      <c r="L136" s="38"/>
      <c r="M136" s="38"/>
      <c r="N136" s="26"/>
      <c r="O136" s="26"/>
      <c r="P136" s="26"/>
      <c r="Q136" s="26"/>
      <c r="R136" s="26"/>
      <c r="S136" s="26"/>
      <c r="T136" s="26"/>
    </row>
    <row r="137" spans="1:20" s="29" customFormat="1" x14ac:dyDescent="0.25">
      <c r="A137" s="25" t="s">
        <v>54</v>
      </c>
      <c r="B137" s="46" t="s">
        <v>79</v>
      </c>
      <c r="C137" s="27"/>
      <c r="D137" s="27"/>
      <c r="E137" s="27"/>
      <c r="F137" s="38">
        <v>36066</v>
      </c>
      <c r="G137" s="26"/>
      <c r="H137" s="26"/>
      <c r="I137" s="38">
        <v>36066</v>
      </c>
      <c r="J137" s="38"/>
      <c r="K137" s="38"/>
      <c r="L137" s="38"/>
      <c r="M137" s="38"/>
      <c r="N137" s="26"/>
      <c r="O137" s="26"/>
      <c r="P137" s="26"/>
      <c r="Q137" s="26"/>
      <c r="R137" s="26"/>
      <c r="S137" s="26"/>
      <c r="T137" s="26"/>
    </row>
    <row r="138" spans="1:20" s="29" customFormat="1" x14ac:dyDescent="0.25">
      <c r="A138" s="25" t="s">
        <v>64</v>
      </c>
      <c r="B138" s="46" t="s">
        <v>80</v>
      </c>
      <c r="C138" s="27"/>
      <c r="D138" s="27"/>
      <c r="E138" s="27"/>
      <c r="F138" s="38">
        <v>21971</v>
      </c>
      <c r="G138" s="26"/>
      <c r="H138" s="26"/>
      <c r="I138" s="38">
        <v>21971</v>
      </c>
      <c r="J138" s="38"/>
      <c r="K138" s="38"/>
      <c r="L138" s="38"/>
      <c r="M138" s="38"/>
      <c r="N138" s="26"/>
      <c r="O138" s="26"/>
      <c r="P138" s="26"/>
      <c r="Q138" s="26"/>
      <c r="R138" s="26"/>
      <c r="S138" s="26"/>
      <c r="T138" s="26"/>
    </row>
    <row r="139" spans="1:20" s="29" customFormat="1" x14ac:dyDescent="0.25">
      <c r="A139" s="25" t="s">
        <v>65</v>
      </c>
      <c r="B139" s="46" t="s">
        <v>81</v>
      </c>
      <c r="C139" s="27"/>
      <c r="D139" s="27"/>
      <c r="E139" s="27"/>
      <c r="F139" s="38">
        <v>56418</v>
      </c>
      <c r="G139" s="26"/>
      <c r="H139" s="26"/>
      <c r="I139" s="38">
        <v>56418</v>
      </c>
      <c r="J139" s="38"/>
      <c r="K139" s="38"/>
      <c r="L139" s="38"/>
      <c r="M139" s="38"/>
      <c r="N139" s="26"/>
      <c r="O139" s="26"/>
      <c r="P139" s="26"/>
      <c r="Q139" s="26"/>
      <c r="R139" s="26"/>
      <c r="S139" s="26"/>
      <c r="T139" s="26"/>
    </row>
    <row r="140" spans="1:20" s="66" customFormat="1" x14ac:dyDescent="0.25">
      <c r="A140" s="59" t="s">
        <v>6</v>
      </c>
      <c r="B140" s="60" t="s">
        <v>83</v>
      </c>
      <c r="C140" s="61">
        <v>607330.76891300001</v>
      </c>
      <c r="D140" s="61">
        <v>508641.996315</v>
      </c>
      <c r="E140" s="61">
        <v>98688.772597999996</v>
      </c>
      <c r="F140" s="63">
        <f>F141+F159</f>
        <v>601395</v>
      </c>
      <c r="G140" s="63">
        <f>G141+G159</f>
        <v>2252</v>
      </c>
      <c r="H140" s="63">
        <f>H141+H159</f>
        <v>0</v>
      </c>
      <c r="I140" s="63">
        <f>I141+I159</f>
        <v>599143</v>
      </c>
      <c r="J140" s="63">
        <f>J171</f>
        <v>0</v>
      </c>
      <c r="K140" s="63">
        <f>K171</f>
        <v>0</v>
      </c>
      <c r="L140" s="63">
        <f>L171</f>
        <v>0</v>
      </c>
      <c r="M140" s="63">
        <f>M171</f>
        <v>0</v>
      </c>
      <c r="N140" s="67"/>
      <c r="O140" s="67"/>
      <c r="P140" s="67"/>
      <c r="Q140" s="67"/>
      <c r="R140" s="67"/>
      <c r="S140" s="67"/>
      <c r="T140" s="67"/>
    </row>
    <row r="141" spans="1:20" s="2" customFormat="1" x14ac:dyDescent="0.25">
      <c r="A141" s="17">
        <v>1</v>
      </c>
      <c r="B141" s="18" t="s">
        <v>34</v>
      </c>
      <c r="C141" s="19"/>
      <c r="D141" s="19"/>
      <c r="E141" s="19"/>
      <c r="F141" s="47">
        <f>SUM(G141:I141)</f>
        <v>580480</v>
      </c>
      <c r="G141" s="47">
        <f>G142</f>
        <v>2252</v>
      </c>
      <c r="H141" s="18"/>
      <c r="I141" s="47">
        <f>I147</f>
        <v>578228</v>
      </c>
      <c r="J141" s="18"/>
      <c r="K141" s="18"/>
      <c r="L141" s="18"/>
      <c r="M141" s="18"/>
      <c r="N141" s="18"/>
      <c r="O141" s="18"/>
      <c r="P141" s="18"/>
      <c r="Q141" s="18"/>
      <c r="R141" s="18"/>
      <c r="S141" s="18"/>
      <c r="T141" s="18"/>
    </row>
    <row r="142" spans="1:20" x14ac:dyDescent="0.25">
      <c r="A142" s="21" t="s">
        <v>12</v>
      </c>
      <c r="B142" s="22" t="s">
        <v>36</v>
      </c>
      <c r="C142" s="23"/>
      <c r="D142" s="23"/>
      <c r="E142" s="23"/>
      <c r="F142" s="48">
        <f>SUM(G142:I142)</f>
        <v>2252</v>
      </c>
      <c r="G142" s="48">
        <v>2252</v>
      </c>
      <c r="H142" s="22"/>
      <c r="I142" s="22"/>
      <c r="J142" s="22"/>
      <c r="K142" s="22"/>
      <c r="L142" s="22"/>
      <c r="M142" s="22"/>
      <c r="N142" s="22"/>
      <c r="O142" s="22"/>
      <c r="P142" s="22"/>
      <c r="Q142" s="22"/>
      <c r="R142" s="22"/>
      <c r="S142" s="22"/>
      <c r="T142" s="22"/>
    </row>
    <row r="143" spans="1:20" s="29" customFormat="1" x14ac:dyDescent="0.25">
      <c r="A143" s="25"/>
      <c r="B143" s="26" t="s">
        <v>37</v>
      </c>
      <c r="C143" s="27"/>
      <c r="D143" s="27"/>
      <c r="E143" s="27"/>
      <c r="F143" s="26"/>
      <c r="G143" s="26"/>
      <c r="H143" s="26"/>
      <c r="I143" s="26"/>
      <c r="J143" s="26"/>
      <c r="K143" s="26"/>
      <c r="L143" s="26"/>
      <c r="M143" s="26"/>
      <c r="N143" s="26"/>
      <c r="O143" s="26"/>
      <c r="P143" s="26"/>
      <c r="Q143" s="26"/>
      <c r="R143" s="26"/>
      <c r="S143" s="26"/>
      <c r="T143" s="28"/>
    </row>
    <row r="144" spans="1:20" s="29" customFormat="1" x14ac:dyDescent="0.25">
      <c r="A144" s="25"/>
      <c r="B144" s="26" t="s">
        <v>37</v>
      </c>
      <c r="C144" s="27"/>
      <c r="D144" s="27"/>
      <c r="E144" s="27"/>
      <c r="F144" s="26"/>
      <c r="G144" s="26"/>
      <c r="H144" s="26"/>
      <c r="I144" s="26"/>
      <c r="J144" s="26"/>
      <c r="K144" s="26"/>
      <c r="L144" s="26"/>
      <c r="M144" s="26"/>
      <c r="N144" s="26"/>
      <c r="O144" s="26"/>
      <c r="P144" s="26"/>
      <c r="Q144" s="26"/>
      <c r="R144" s="26"/>
      <c r="S144" s="26"/>
      <c r="T144" s="28"/>
    </row>
    <row r="145" spans="1:20" s="29" customFormat="1" x14ac:dyDescent="0.25">
      <c r="A145" s="25"/>
      <c r="B145" s="26" t="s">
        <v>37</v>
      </c>
      <c r="C145" s="27"/>
      <c r="D145" s="27"/>
      <c r="E145" s="27"/>
      <c r="F145" s="26"/>
      <c r="G145" s="26"/>
      <c r="H145" s="26"/>
      <c r="I145" s="26"/>
      <c r="J145" s="26"/>
      <c r="K145" s="26"/>
      <c r="L145" s="26"/>
      <c r="M145" s="26"/>
      <c r="N145" s="26"/>
      <c r="O145" s="26"/>
      <c r="P145" s="26"/>
      <c r="Q145" s="26"/>
      <c r="R145" s="26"/>
      <c r="S145" s="26"/>
      <c r="T145" s="28"/>
    </row>
    <row r="146" spans="1:20" s="29" customFormat="1" x14ac:dyDescent="0.25">
      <c r="A146" s="25"/>
      <c r="B146" s="26" t="s">
        <v>37</v>
      </c>
      <c r="C146" s="27"/>
      <c r="D146" s="27"/>
      <c r="E146" s="27"/>
      <c r="F146" s="26"/>
      <c r="G146" s="26"/>
      <c r="H146" s="26"/>
      <c r="I146" s="26"/>
      <c r="J146" s="26"/>
      <c r="K146" s="26"/>
      <c r="L146" s="26"/>
      <c r="M146" s="26"/>
      <c r="N146" s="26"/>
      <c r="O146" s="26"/>
      <c r="P146" s="26"/>
      <c r="Q146" s="26"/>
      <c r="R146" s="26"/>
      <c r="S146" s="26"/>
      <c r="T146" s="28"/>
    </row>
    <row r="147" spans="1:20" x14ac:dyDescent="0.25">
      <c r="A147" s="21" t="s">
        <v>14</v>
      </c>
      <c r="B147" s="22" t="s">
        <v>68</v>
      </c>
      <c r="C147" s="23"/>
      <c r="D147" s="23"/>
      <c r="E147" s="23"/>
      <c r="F147" s="48">
        <f>SUM(F148:F154)</f>
        <v>578228</v>
      </c>
      <c r="G147" s="48">
        <f t="shared" ref="G147:M147" si="7">SUM(G148:G154)</f>
        <v>0</v>
      </c>
      <c r="H147" s="48">
        <f t="shared" si="7"/>
        <v>0</v>
      </c>
      <c r="I147" s="48">
        <f t="shared" si="7"/>
        <v>578228</v>
      </c>
      <c r="J147" s="48">
        <f t="shared" si="7"/>
        <v>0</v>
      </c>
      <c r="K147" s="48">
        <f t="shared" si="7"/>
        <v>0</v>
      </c>
      <c r="L147" s="48">
        <f t="shared" si="7"/>
        <v>0</v>
      </c>
      <c r="M147" s="48">
        <f t="shared" si="7"/>
        <v>0</v>
      </c>
      <c r="N147" s="22"/>
      <c r="O147" s="22"/>
      <c r="P147" s="22"/>
      <c r="Q147" s="22"/>
      <c r="R147" s="22"/>
      <c r="S147" s="22"/>
      <c r="T147" s="22"/>
    </row>
    <row r="148" spans="1:20" s="29" customFormat="1" x14ac:dyDescent="0.25">
      <c r="A148" s="25"/>
      <c r="B148" s="46" t="s">
        <v>84</v>
      </c>
      <c r="C148" s="27"/>
      <c r="D148" s="27"/>
      <c r="E148" s="27"/>
      <c r="F148" s="38">
        <f t="shared" ref="F148:F154" si="8">G148+H148+I148</f>
        <v>17172</v>
      </c>
      <c r="G148" s="26"/>
      <c r="H148" s="26"/>
      <c r="I148" s="38">
        <v>17172</v>
      </c>
      <c r="J148" s="26"/>
      <c r="K148" s="26"/>
      <c r="L148" s="26"/>
      <c r="M148" s="26"/>
      <c r="N148" s="26"/>
      <c r="O148" s="26"/>
      <c r="P148" s="26"/>
      <c r="Q148" s="26"/>
      <c r="R148" s="26"/>
      <c r="S148" s="26"/>
      <c r="T148" s="28"/>
    </row>
    <row r="149" spans="1:20" s="29" customFormat="1" x14ac:dyDescent="0.25">
      <c r="A149" s="25"/>
      <c r="B149" s="46" t="s">
        <v>85</v>
      </c>
      <c r="C149" s="27"/>
      <c r="D149" s="27"/>
      <c r="E149" s="27"/>
      <c r="F149" s="38">
        <f t="shared" si="8"/>
        <v>19178</v>
      </c>
      <c r="G149" s="26"/>
      <c r="H149" s="26"/>
      <c r="I149" s="38">
        <v>19178</v>
      </c>
      <c r="J149" s="26"/>
      <c r="K149" s="26"/>
      <c r="L149" s="26"/>
      <c r="M149" s="26"/>
      <c r="N149" s="26"/>
      <c r="O149" s="26"/>
      <c r="P149" s="26"/>
      <c r="Q149" s="26"/>
      <c r="R149" s="26"/>
      <c r="S149" s="26"/>
      <c r="T149" s="28"/>
    </row>
    <row r="150" spans="1:20" s="29" customFormat="1" x14ac:dyDescent="0.25">
      <c r="A150" s="25"/>
      <c r="B150" s="46" t="s">
        <v>86</v>
      </c>
      <c r="C150" s="27"/>
      <c r="D150" s="27"/>
      <c r="E150" s="27"/>
      <c r="F150" s="38">
        <f t="shared" si="8"/>
        <v>16384</v>
      </c>
      <c r="G150" s="26"/>
      <c r="H150" s="26"/>
      <c r="I150" s="38">
        <v>16384</v>
      </c>
      <c r="J150" s="26"/>
      <c r="K150" s="26"/>
      <c r="L150" s="26"/>
      <c r="M150" s="26"/>
      <c r="N150" s="26"/>
      <c r="O150" s="26"/>
      <c r="P150" s="26"/>
      <c r="Q150" s="26"/>
      <c r="R150" s="26"/>
      <c r="S150" s="26"/>
      <c r="T150" s="28"/>
    </row>
    <row r="151" spans="1:20" s="29" customFormat="1" x14ac:dyDescent="0.25">
      <c r="A151" s="25"/>
      <c r="B151" s="46" t="s">
        <v>87</v>
      </c>
      <c r="C151" s="27"/>
      <c r="D151" s="27"/>
      <c r="E151" s="27"/>
      <c r="F151" s="38">
        <f t="shared" si="8"/>
        <v>19098</v>
      </c>
      <c r="G151" s="26"/>
      <c r="H151" s="26"/>
      <c r="I151" s="38">
        <v>19098</v>
      </c>
      <c r="J151" s="26"/>
      <c r="K151" s="26"/>
      <c r="L151" s="26"/>
      <c r="M151" s="26"/>
      <c r="N151" s="26"/>
      <c r="O151" s="26"/>
      <c r="P151" s="26"/>
      <c r="Q151" s="26"/>
      <c r="R151" s="26"/>
      <c r="S151" s="26"/>
      <c r="T151" s="28"/>
    </row>
    <row r="152" spans="1:20" s="29" customFormat="1" x14ac:dyDescent="0.25">
      <c r="A152" s="25"/>
      <c r="B152" s="46" t="s">
        <v>88</v>
      </c>
      <c r="C152" s="27"/>
      <c r="D152" s="27"/>
      <c r="E152" s="27"/>
      <c r="F152" s="38">
        <f t="shared" si="8"/>
        <v>25882</v>
      </c>
      <c r="G152" s="38"/>
      <c r="H152" s="38"/>
      <c r="I152" s="38">
        <v>25882</v>
      </c>
      <c r="J152" s="26"/>
      <c r="K152" s="26"/>
      <c r="L152" s="26"/>
      <c r="M152" s="26"/>
      <c r="N152" s="26"/>
      <c r="O152" s="26"/>
      <c r="P152" s="26"/>
      <c r="Q152" s="26"/>
      <c r="R152" s="26"/>
      <c r="S152" s="26"/>
      <c r="T152" s="28"/>
    </row>
    <row r="153" spans="1:20" s="29" customFormat="1" x14ac:dyDescent="0.25">
      <c r="A153" s="25"/>
      <c r="B153" s="46" t="s">
        <v>89</v>
      </c>
      <c r="C153" s="27"/>
      <c r="D153" s="27"/>
      <c r="E153" s="27"/>
      <c r="F153" s="38">
        <f t="shared" si="8"/>
        <v>18054</v>
      </c>
      <c r="G153" s="38"/>
      <c r="H153" s="38"/>
      <c r="I153" s="38">
        <v>18054</v>
      </c>
      <c r="J153" s="26"/>
      <c r="K153" s="26"/>
      <c r="L153" s="26"/>
      <c r="M153" s="26"/>
      <c r="N153" s="26"/>
      <c r="O153" s="26"/>
      <c r="P153" s="26"/>
      <c r="Q153" s="26"/>
      <c r="R153" s="26"/>
      <c r="S153" s="26"/>
      <c r="T153" s="28"/>
    </row>
    <row r="154" spans="1:20" s="29" customFormat="1" x14ac:dyDescent="0.25">
      <c r="A154" s="25"/>
      <c r="B154" s="46" t="s">
        <v>90</v>
      </c>
      <c r="C154" s="27"/>
      <c r="D154" s="27"/>
      <c r="E154" s="27"/>
      <c r="F154" s="38">
        <f t="shared" si="8"/>
        <v>462460</v>
      </c>
      <c r="G154" s="38"/>
      <c r="H154" s="38"/>
      <c r="I154" s="38">
        <v>462460</v>
      </c>
      <c r="J154" s="26"/>
      <c r="K154" s="26"/>
      <c r="L154" s="26"/>
      <c r="M154" s="26"/>
      <c r="N154" s="26"/>
      <c r="O154" s="26"/>
      <c r="P154" s="26"/>
      <c r="Q154" s="26"/>
      <c r="R154" s="26"/>
      <c r="S154" s="26"/>
      <c r="T154" s="28"/>
    </row>
    <row r="155" spans="1:20" x14ac:dyDescent="0.25">
      <c r="A155" s="21" t="s">
        <v>13</v>
      </c>
      <c r="B155" s="22" t="s">
        <v>43</v>
      </c>
      <c r="C155" s="23"/>
      <c r="D155" s="23"/>
      <c r="E155" s="23"/>
      <c r="F155" s="22"/>
      <c r="G155" s="22"/>
      <c r="H155" s="22"/>
      <c r="I155" s="22"/>
      <c r="J155" s="22"/>
      <c r="K155" s="22"/>
      <c r="L155" s="22"/>
      <c r="M155" s="22"/>
      <c r="N155" s="22"/>
      <c r="O155" s="22"/>
      <c r="P155" s="22"/>
      <c r="Q155" s="22"/>
      <c r="R155" s="22"/>
      <c r="S155" s="22"/>
      <c r="T155" s="22"/>
    </row>
    <row r="156" spans="1:20" x14ac:dyDescent="0.25">
      <c r="A156" s="21"/>
      <c r="B156" s="22" t="s">
        <v>44</v>
      </c>
      <c r="C156" s="23"/>
      <c r="D156" s="23"/>
      <c r="E156" s="23"/>
      <c r="F156" s="22"/>
      <c r="G156" s="22"/>
      <c r="H156" s="22"/>
      <c r="I156" s="22"/>
      <c r="J156" s="22"/>
      <c r="K156" s="22"/>
      <c r="L156" s="22"/>
      <c r="M156" s="22"/>
      <c r="N156" s="22"/>
      <c r="O156" s="22"/>
      <c r="P156" s="22"/>
      <c r="Q156" s="22"/>
      <c r="R156" s="22"/>
      <c r="S156" s="22"/>
      <c r="T156" s="24"/>
    </row>
    <row r="157" spans="1:20" x14ac:dyDescent="0.25">
      <c r="A157" s="21"/>
      <c r="B157" s="22" t="s">
        <v>44</v>
      </c>
      <c r="C157" s="23"/>
      <c r="D157" s="23"/>
      <c r="E157" s="23"/>
      <c r="F157" s="22"/>
      <c r="G157" s="22"/>
      <c r="H157" s="22"/>
      <c r="I157" s="22"/>
      <c r="J157" s="22"/>
      <c r="K157" s="22"/>
      <c r="L157" s="22"/>
      <c r="M157" s="22"/>
      <c r="N157" s="22"/>
      <c r="O157" s="22"/>
      <c r="P157" s="22"/>
      <c r="Q157" s="22"/>
      <c r="R157" s="22"/>
      <c r="S157" s="22"/>
      <c r="T157" s="24"/>
    </row>
    <row r="158" spans="1:20" x14ac:dyDescent="0.25">
      <c r="A158" s="21"/>
      <c r="B158" s="22" t="s">
        <v>44</v>
      </c>
      <c r="C158" s="23"/>
      <c r="D158" s="23"/>
      <c r="E158" s="23"/>
      <c r="F158" s="22"/>
      <c r="G158" s="22"/>
      <c r="H158" s="22"/>
      <c r="I158" s="22"/>
      <c r="J158" s="22"/>
      <c r="K158" s="22"/>
      <c r="L158" s="22"/>
      <c r="M158" s="22"/>
      <c r="N158" s="22"/>
      <c r="O158" s="22"/>
      <c r="P158" s="22"/>
      <c r="Q158" s="22"/>
      <c r="R158" s="22"/>
      <c r="S158" s="22"/>
      <c r="T158" s="24"/>
    </row>
    <row r="159" spans="1:20" s="2" customFormat="1" x14ac:dyDescent="0.25">
      <c r="A159" s="17">
        <v>2</v>
      </c>
      <c r="B159" s="18" t="s">
        <v>45</v>
      </c>
      <c r="C159" s="19"/>
      <c r="D159" s="19"/>
      <c r="E159" s="19"/>
      <c r="F159" s="37">
        <f>F160</f>
        <v>20915</v>
      </c>
      <c r="G159" s="22">
        <f>G160</f>
        <v>0</v>
      </c>
      <c r="H159" s="22">
        <f>H160</f>
        <v>0</v>
      </c>
      <c r="I159" s="37">
        <f>I160</f>
        <v>20915</v>
      </c>
      <c r="J159" s="18"/>
      <c r="K159" s="18"/>
      <c r="L159" s="18"/>
      <c r="M159" s="18"/>
      <c r="N159" s="18"/>
      <c r="O159" s="18"/>
      <c r="P159" s="18"/>
      <c r="Q159" s="18"/>
      <c r="R159" s="18"/>
      <c r="S159" s="18"/>
      <c r="T159" s="18"/>
    </row>
    <row r="160" spans="1:20" x14ac:dyDescent="0.25">
      <c r="A160" s="21" t="s">
        <v>15</v>
      </c>
      <c r="B160" s="22" t="s">
        <v>68</v>
      </c>
      <c r="C160" s="23"/>
      <c r="D160" s="23"/>
      <c r="E160" s="23"/>
      <c r="F160" s="48">
        <f>G160+H160+I160</f>
        <v>20915</v>
      </c>
      <c r="G160" s="22"/>
      <c r="H160" s="22"/>
      <c r="I160" s="48">
        <f>SUM(I161:I167)</f>
        <v>20915</v>
      </c>
      <c r="J160" s="22"/>
      <c r="K160" s="22"/>
      <c r="L160" s="22"/>
      <c r="M160" s="22"/>
      <c r="N160" s="22"/>
      <c r="O160" s="22"/>
      <c r="P160" s="22"/>
      <c r="Q160" s="22"/>
      <c r="R160" s="22"/>
      <c r="S160" s="22"/>
      <c r="T160" s="22"/>
    </row>
    <row r="161" spans="1:20" s="29" customFormat="1" ht="18.75" customHeight="1" x14ac:dyDescent="0.25">
      <c r="A161" s="25"/>
      <c r="B161" s="46" t="s">
        <v>84</v>
      </c>
      <c r="C161" s="27"/>
      <c r="D161" s="27"/>
      <c r="E161" s="27"/>
      <c r="F161" s="38">
        <f t="shared" ref="F161:F167" si="9">G161+H161+I161</f>
        <v>2318</v>
      </c>
      <c r="G161" s="26"/>
      <c r="H161" s="26"/>
      <c r="I161" s="38">
        <v>2318</v>
      </c>
      <c r="J161" s="26"/>
      <c r="K161" s="26"/>
      <c r="L161" s="26"/>
      <c r="M161" s="26"/>
      <c r="N161" s="26"/>
      <c r="O161" s="26"/>
      <c r="P161" s="26"/>
      <c r="Q161" s="26"/>
      <c r="R161" s="26"/>
      <c r="S161" s="26"/>
      <c r="T161" s="28"/>
    </row>
    <row r="162" spans="1:20" s="29" customFormat="1" x14ac:dyDescent="0.25">
      <c r="A162" s="25"/>
      <c r="B162" s="46" t="s">
        <v>85</v>
      </c>
      <c r="C162" s="27"/>
      <c r="D162" s="27"/>
      <c r="E162" s="27"/>
      <c r="F162" s="38">
        <f t="shared" si="9"/>
        <v>1939</v>
      </c>
      <c r="G162" s="26"/>
      <c r="H162" s="26"/>
      <c r="I162" s="38">
        <v>1939</v>
      </c>
      <c r="J162" s="26"/>
      <c r="K162" s="26"/>
      <c r="L162" s="26"/>
      <c r="M162" s="26"/>
      <c r="N162" s="26"/>
      <c r="O162" s="26"/>
      <c r="P162" s="26"/>
      <c r="Q162" s="26"/>
      <c r="R162" s="26"/>
      <c r="S162" s="26"/>
      <c r="T162" s="28"/>
    </row>
    <row r="163" spans="1:20" s="29" customFormat="1" x14ac:dyDescent="0.25">
      <c r="A163" s="25"/>
      <c r="B163" s="46" t="s">
        <v>86</v>
      </c>
      <c r="C163" s="27"/>
      <c r="D163" s="27"/>
      <c r="E163" s="27"/>
      <c r="F163" s="38">
        <f t="shared" si="9"/>
        <v>2097</v>
      </c>
      <c r="G163" s="26"/>
      <c r="H163" s="26"/>
      <c r="I163" s="38">
        <v>2097</v>
      </c>
      <c r="J163" s="26"/>
      <c r="K163" s="26"/>
      <c r="L163" s="26"/>
      <c r="M163" s="26"/>
      <c r="N163" s="26"/>
      <c r="O163" s="26"/>
      <c r="P163" s="26"/>
      <c r="Q163" s="26"/>
      <c r="R163" s="26"/>
      <c r="S163" s="26"/>
      <c r="T163" s="28"/>
    </row>
    <row r="164" spans="1:20" s="29" customFormat="1" x14ac:dyDescent="0.25">
      <c r="A164" s="25"/>
      <c r="B164" s="46" t="s">
        <v>87</v>
      </c>
      <c r="C164" s="27"/>
      <c r="D164" s="27"/>
      <c r="E164" s="27"/>
      <c r="F164" s="38">
        <f t="shared" si="9"/>
        <v>2518</v>
      </c>
      <c r="G164" s="26"/>
      <c r="H164" s="26"/>
      <c r="I164" s="38">
        <v>2518</v>
      </c>
      <c r="J164" s="26"/>
      <c r="K164" s="26"/>
      <c r="L164" s="26"/>
      <c r="M164" s="26"/>
      <c r="N164" s="26"/>
      <c r="O164" s="26"/>
      <c r="P164" s="26"/>
      <c r="Q164" s="26"/>
      <c r="R164" s="26"/>
      <c r="S164" s="26"/>
      <c r="T164" s="28"/>
    </row>
    <row r="165" spans="1:20" s="29" customFormat="1" x14ac:dyDescent="0.25">
      <c r="A165" s="25"/>
      <c r="B165" s="46" t="s">
        <v>88</v>
      </c>
      <c r="C165" s="27"/>
      <c r="D165" s="27"/>
      <c r="E165" s="27"/>
      <c r="F165" s="38">
        <f t="shared" si="9"/>
        <v>3297</v>
      </c>
      <c r="G165" s="26"/>
      <c r="H165" s="26"/>
      <c r="I165" s="38">
        <v>3297</v>
      </c>
      <c r="J165" s="26"/>
      <c r="K165" s="26"/>
      <c r="L165" s="26"/>
      <c r="M165" s="26"/>
      <c r="N165" s="26"/>
      <c r="O165" s="26"/>
      <c r="P165" s="26"/>
      <c r="Q165" s="26"/>
      <c r="R165" s="26"/>
      <c r="S165" s="26"/>
      <c r="T165" s="28"/>
    </row>
    <row r="166" spans="1:20" s="29" customFormat="1" x14ac:dyDescent="0.25">
      <c r="A166" s="25"/>
      <c r="B166" s="46" t="s">
        <v>89</v>
      </c>
      <c r="C166" s="27"/>
      <c r="D166" s="27"/>
      <c r="E166" s="27"/>
      <c r="F166" s="38">
        <f t="shared" si="9"/>
        <v>1182</v>
      </c>
      <c r="G166" s="26"/>
      <c r="H166" s="26"/>
      <c r="I166" s="38">
        <v>1182</v>
      </c>
      <c r="J166" s="26"/>
      <c r="K166" s="26"/>
      <c r="L166" s="26"/>
      <c r="M166" s="26"/>
      <c r="N166" s="26"/>
      <c r="O166" s="26"/>
      <c r="P166" s="26"/>
      <c r="Q166" s="26"/>
      <c r="R166" s="26"/>
      <c r="S166" s="26"/>
      <c r="T166" s="28"/>
    </row>
    <row r="167" spans="1:20" s="29" customFormat="1" x14ac:dyDescent="0.25">
      <c r="A167" s="25"/>
      <c r="B167" s="46" t="s">
        <v>90</v>
      </c>
      <c r="C167" s="27"/>
      <c r="D167" s="27"/>
      <c r="E167" s="27"/>
      <c r="F167" s="38">
        <f t="shared" si="9"/>
        <v>7564</v>
      </c>
      <c r="G167" s="26"/>
      <c r="H167" s="26"/>
      <c r="I167" s="38">
        <v>7564</v>
      </c>
      <c r="J167" s="26"/>
      <c r="K167" s="26"/>
      <c r="L167" s="26"/>
      <c r="M167" s="26"/>
      <c r="N167" s="26"/>
      <c r="O167" s="26"/>
      <c r="P167" s="26"/>
      <c r="Q167" s="26"/>
      <c r="R167" s="26"/>
      <c r="S167" s="26"/>
      <c r="T167" s="28"/>
    </row>
    <row r="168" spans="1:20" ht="37.5" x14ac:dyDescent="0.25">
      <c r="A168" s="21" t="s">
        <v>16</v>
      </c>
      <c r="B168" s="32" t="s">
        <v>74</v>
      </c>
      <c r="C168" s="23"/>
      <c r="D168" s="23"/>
      <c r="E168" s="23"/>
      <c r="F168" s="22"/>
      <c r="G168" s="22"/>
      <c r="H168" s="22"/>
      <c r="I168" s="22"/>
      <c r="J168" s="22"/>
      <c r="K168" s="22"/>
      <c r="L168" s="22"/>
      <c r="M168" s="22"/>
      <c r="N168" s="22"/>
      <c r="O168" s="22"/>
      <c r="P168" s="22"/>
      <c r="Q168" s="22"/>
      <c r="R168" s="22"/>
      <c r="S168" s="22"/>
      <c r="T168" s="22"/>
    </row>
    <row r="169" spans="1:20" x14ac:dyDescent="0.25">
      <c r="A169" s="21" t="s">
        <v>48</v>
      </c>
      <c r="B169" s="22" t="s">
        <v>49</v>
      </c>
      <c r="C169" s="23"/>
      <c r="D169" s="23"/>
      <c r="E169" s="23"/>
      <c r="F169" s="36">
        <f>F170</f>
        <v>-5934</v>
      </c>
      <c r="G169" s="22"/>
      <c r="H169" s="36"/>
      <c r="I169" s="36">
        <f>I170</f>
        <v>-5934</v>
      </c>
      <c r="J169" s="22"/>
      <c r="K169" s="22"/>
      <c r="L169" s="22"/>
      <c r="M169" s="22"/>
      <c r="N169" s="22"/>
      <c r="O169" s="22"/>
      <c r="P169" s="22"/>
      <c r="Q169" s="22"/>
      <c r="R169" s="22"/>
      <c r="S169" s="22"/>
      <c r="T169" s="22"/>
    </row>
    <row r="170" spans="1:20" ht="37.5" x14ac:dyDescent="0.25">
      <c r="A170" s="21"/>
      <c r="B170" s="34" t="s">
        <v>120</v>
      </c>
      <c r="C170" s="23"/>
      <c r="D170" s="23"/>
      <c r="E170" s="23"/>
      <c r="F170" s="35">
        <v>-5934</v>
      </c>
      <c r="G170" s="22"/>
      <c r="H170" s="35"/>
      <c r="I170" s="35">
        <v>-5934</v>
      </c>
      <c r="J170" s="22"/>
      <c r="K170" s="22"/>
      <c r="L170" s="22"/>
      <c r="M170" s="22"/>
      <c r="N170" s="22"/>
      <c r="O170" s="22"/>
      <c r="P170" s="22"/>
      <c r="Q170" s="22"/>
      <c r="R170" s="22"/>
      <c r="S170" s="22"/>
      <c r="T170" s="22"/>
    </row>
    <row r="171" spans="1:20" x14ac:dyDescent="0.25">
      <c r="A171" s="17">
        <v>3</v>
      </c>
      <c r="B171" s="18" t="s">
        <v>51</v>
      </c>
      <c r="C171" s="23"/>
      <c r="D171" s="23"/>
      <c r="E171" s="23"/>
      <c r="F171" s="37">
        <f>SUM(F172:F178)</f>
        <v>599144.93704250001</v>
      </c>
      <c r="G171" s="22"/>
      <c r="H171" s="22"/>
      <c r="I171" s="37">
        <f>SUM(I172:I178)</f>
        <v>599144.93704250001</v>
      </c>
      <c r="J171" s="37"/>
      <c r="K171" s="37"/>
      <c r="L171" s="37"/>
      <c r="M171" s="37"/>
      <c r="N171" s="22"/>
      <c r="O171" s="22"/>
      <c r="P171" s="22"/>
      <c r="Q171" s="22"/>
      <c r="R171" s="22"/>
      <c r="S171" s="22"/>
      <c r="T171" s="20"/>
    </row>
    <row r="172" spans="1:20" s="29" customFormat="1" ht="19.5" x14ac:dyDescent="0.25">
      <c r="A172" s="25" t="s">
        <v>17</v>
      </c>
      <c r="B172" s="46" t="s">
        <v>84</v>
      </c>
      <c r="C172" s="27"/>
      <c r="D172" s="27"/>
      <c r="E172" s="27"/>
      <c r="F172" s="44">
        <v>19492.319186000001</v>
      </c>
      <c r="G172" s="26"/>
      <c r="H172" s="26"/>
      <c r="I172" s="44">
        <v>19492.319186000001</v>
      </c>
      <c r="J172" s="45"/>
      <c r="K172" s="45"/>
      <c r="L172" s="45"/>
      <c r="M172" s="45"/>
      <c r="N172" s="26"/>
      <c r="O172" s="26"/>
      <c r="P172" s="26"/>
      <c r="Q172" s="26"/>
      <c r="R172" s="26"/>
      <c r="S172" s="26"/>
      <c r="T172" s="26"/>
    </row>
    <row r="173" spans="1:20" s="29" customFormat="1" ht="19.5" x14ac:dyDescent="0.25">
      <c r="A173" s="25" t="s">
        <v>18</v>
      </c>
      <c r="B173" s="46" t="s">
        <v>85</v>
      </c>
      <c r="C173" s="27"/>
      <c r="D173" s="27"/>
      <c r="E173" s="27"/>
      <c r="F173" s="44">
        <v>21117.172806000002</v>
      </c>
      <c r="G173" s="26"/>
      <c r="H173" s="26"/>
      <c r="I173" s="44">
        <v>21117.172806000002</v>
      </c>
      <c r="J173" s="45"/>
      <c r="K173" s="45"/>
      <c r="L173" s="45"/>
      <c r="M173" s="45"/>
      <c r="N173" s="26"/>
      <c r="O173" s="26"/>
      <c r="P173" s="26"/>
      <c r="Q173" s="26"/>
      <c r="R173" s="26"/>
      <c r="S173" s="26"/>
      <c r="T173" s="26"/>
    </row>
    <row r="174" spans="1:20" s="29" customFormat="1" ht="19.5" x14ac:dyDescent="0.25">
      <c r="A174" s="25" t="s">
        <v>53</v>
      </c>
      <c r="B174" s="46" t="s">
        <v>86</v>
      </c>
      <c r="C174" s="27"/>
      <c r="D174" s="27"/>
      <c r="E174" s="27"/>
      <c r="F174" s="44">
        <v>18480.228203000002</v>
      </c>
      <c r="G174" s="26"/>
      <c r="H174" s="26"/>
      <c r="I174" s="44">
        <v>18480.228203000002</v>
      </c>
      <c r="J174" s="45"/>
      <c r="K174" s="45"/>
      <c r="L174" s="45"/>
      <c r="M174" s="45"/>
      <c r="N174" s="26"/>
      <c r="O174" s="26"/>
      <c r="P174" s="26"/>
      <c r="Q174" s="26"/>
      <c r="R174" s="26"/>
      <c r="S174" s="26"/>
      <c r="T174" s="26"/>
    </row>
    <row r="175" spans="1:20" s="29" customFormat="1" ht="19.5" x14ac:dyDescent="0.25">
      <c r="A175" s="25" t="s">
        <v>54</v>
      </c>
      <c r="B175" s="46" t="s">
        <v>87</v>
      </c>
      <c r="C175" s="27"/>
      <c r="D175" s="27"/>
      <c r="E175" s="27"/>
      <c r="F175" s="44">
        <v>21615.775470999997</v>
      </c>
      <c r="G175" s="26"/>
      <c r="H175" s="26"/>
      <c r="I175" s="44">
        <v>21615.775470999997</v>
      </c>
      <c r="J175" s="45"/>
      <c r="K175" s="45"/>
      <c r="L175" s="45"/>
      <c r="M175" s="45"/>
      <c r="N175" s="26"/>
      <c r="O175" s="26"/>
      <c r="P175" s="26"/>
      <c r="Q175" s="26"/>
      <c r="R175" s="26"/>
      <c r="S175" s="26"/>
      <c r="T175" s="26"/>
    </row>
    <row r="176" spans="1:20" s="29" customFormat="1" ht="19.5" x14ac:dyDescent="0.25">
      <c r="A176" s="25" t="s">
        <v>64</v>
      </c>
      <c r="B176" s="46" t="s">
        <v>88</v>
      </c>
      <c r="C176" s="27"/>
      <c r="D176" s="27"/>
      <c r="E176" s="27"/>
      <c r="F176" s="44">
        <v>29178.855619000002</v>
      </c>
      <c r="G176" s="26"/>
      <c r="H176" s="26"/>
      <c r="I176" s="44">
        <v>29178.855619000002</v>
      </c>
      <c r="J176" s="45"/>
      <c r="K176" s="45"/>
      <c r="L176" s="45"/>
      <c r="M176" s="45"/>
      <c r="N176" s="26"/>
      <c r="O176" s="26"/>
      <c r="P176" s="26"/>
      <c r="Q176" s="26"/>
      <c r="R176" s="26"/>
      <c r="S176" s="26"/>
      <c r="T176" s="26"/>
    </row>
    <row r="177" spans="1:20" s="29" customFormat="1" ht="19.5" x14ac:dyDescent="0.25">
      <c r="A177" s="25" t="s">
        <v>65</v>
      </c>
      <c r="B177" s="46" t="s">
        <v>89</v>
      </c>
      <c r="C177" s="27"/>
      <c r="D177" s="27"/>
      <c r="E177" s="27"/>
      <c r="F177" s="44">
        <v>19235.681626000001</v>
      </c>
      <c r="G177" s="26"/>
      <c r="H177" s="26"/>
      <c r="I177" s="44">
        <v>19235.681626000001</v>
      </c>
      <c r="J177" s="45"/>
      <c r="K177" s="45"/>
      <c r="L177" s="45"/>
      <c r="M177" s="45"/>
      <c r="N177" s="26"/>
      <c r="O177" s="26"/>
      <c r="P177" s="26"/>
      <c r="Q177" s="26"/>
      <c r="R177" s="26"/>
      <c r="S177" s="26"/>
      <c r="T177" s="26"/>
    </row>
    <row r="178" spans="1:20" s="29" customFormat="1" ht="19.5" x14ac:dyDescent="0.25">
      <c r="A178" s="25" t="s">
        <v>91</v>
      </c>
      <c r="B178" s="46" t="s">
        <v>90</v>
      </c>
      <c r="C178" s="27"/>
      <c r="D178" s="27"/>
      <c r="E178" s="27"/>
      <c r="F178" s="44">
        <v>470024.90413149999</v>
      </c>
      <c r="G178" s="26"/>
      <c r="H178" s="26"/>
      <c r="I178" s="44">
        <v>470024.90413149999</v>
      </c>
      <c r="J178" s="45"/>
      <c r="K178" s="45"/>
      <c r="L178" s="45"/>
      <c r="M178" s="45"/>
      <c r="N178" s="26"/>
      <c r="O178" s="26"/>
      <c r="P178" s="26"/>
      <c r="Q178" s="26"/>
      <c r="R178" s="26"/>
      <c r="S178" s="26"/>
      <c r="T178" s="26"/>
    </row>
    <row r="179" spans="1:20" s="39" customFormat="1" ht="30" x14ac:dyDescent="0.25">
      <c r="A179" s="11" t="s">
        <v>7</v>
      </c>
      <c r="B179" s="12" t="s">
        <v>92</v>
      </c>
      <c r="C179" s="13">
        <v>463762.07835600001</v>
      </c>
      <c r="D179" s="13">
        <v>390649.16099499998</v>
      </c>
      <c r="E179" s="13">
        <v>73112.917361</v>
      </c>
      <c r="F179" s="14">
        <f>F205</f>
        <v>464755</v>
      </c>
      <c r="G179" s="49"/>
      <c r="H179" s="49"/>
      <c r="I179" s="14">
        <f>I205</f>
        <v>464755</v>
      </c>
      <c r="J179" s="14">
        <f t="shared" ref="J179:S179" si="10">J205</f>
        <v>0</v>
      </c>
      <c r="K179" s="14">
        <f t="shared" si="10"/>
        <v>0</v>
      </c>
      <c r="L179" s="14">
        <f t="shared" si="10"/>
        <v>0</v>
      </c>
      <c r="M179" s="14">
        <f t="shared" si="10"/>
        <v>0</v>
      </c>
      <c r="N179" s="14">
        <f t="shared" si="10"/>
        <v>0</v>
      </c>
      <c r="O179" s="14">
        <f t="shared" si="10"/>
        <v>0</v>
      </c>
      <c r="P179" s="14">
        <f t="shared" si="10"/>
        <v>0</v>
      </c>
      <c r="Q179" s="14">
        <f t="shared" si="10"/>
        <v>0</v>
      </c>
      <c r="R179" s="14">
        <f t="shared" si="10"/>
        <v>0</v>
      </c>
      <c r="S179" s="14">
        <f t="shared" si="10"/>
        <v>0</v>
      </c>
      <c r="T179" s="15" t="s">
        <v>35</v>
      </c>
    </row>
    <row r="180" spans="1:20" s="2" customFormat="1" x14ac:dyDescent="0.25">
      <c r="A180" s="17">
        <v>1</v>
      </c>
      <c r="B180" s="18" t="s">
        <v>34</v>
      </c>
      <c r="C180" s="19"/>
      <c r="D180" s="19"/>
      <c r="E180" s="19"/>
      <c r="F180" s="47">
        <f>F186</f>
        <v>17802</v>
      </c>
      <c r="G180" s="47">
        <f t="shared" ref="G180:S180" si="11">G186</f>
        <v>0</v>
      </c>
      <c r="H180" s="47">
        <f t="shared" si="11"/>
        <v>0</v>
      </c>
      <c r="I180" s="47">
        <f t="shared" si="11"/>
        <v>17802</v>
      </c>
      <c r="J180" s="47">
        <f t="shared" si="11"/>
        <v>0</v>
      </c>
      <c r="K180" s="47">
        <f t="shared" si="11"/>
        <v>0</v>
      </c>
      <c r="L180" s="47">
        <f t="shared" si="11"/>
        <v>0</v>
      </c>
      <c r="M180" s="47">
        <f t="shared" si="11"/>
        <v>0</v>
      </c>
      <c r="N180" s="47">
        <f t="shared" si="11"/>
        <v>0</v>
      </c>
      <c r="O180" s="47">
        <f t="shared" si="11"/>
        <v>0</v>
      </c>
      <c r="P180" s="47">
        <f t="shared" si="11"/>
        <v>4289</v>
      </c>
      <c r="Q180" s="47">
        <f t="shared" si="11"/>
        <v>0</v>
      </c>
      <c r="R180" s="47">
        <f t="shared" si="11"/>
        <v>0</v>
      </c>
      <c r="S180" s="47">
        <f t="shared" si="11"/>
        <v>9867</v>
      </c>
      <c r="T180" s="18"/>
    </row>
    <row r="181" spans="1:20" x14ac:dyDescent="0.25">
      <c r="A181" s="21" t="s">
        <v>12</v>
      </c>
      <c r="B181" s="22" t="s">
        <v>36</v>
      </c>
      <c r="C181" s="23"/>
      <c r="D181" s="23"/>
      <c r="E181" s="23"/>
      <c r="F181" s="22"/>
      <c r="G181" s="22"/>
      <c r="H181" s="22"/>
      <c r="I181" s="22"/>
      <c r="J181" s="22"/>
      <c r="K181" s="22"/>
      <c r="L181" s="22"/>
      <c r="M181" s="22"/>
      <c r="N181" s="22"/>
      <c r="O181" s="22"/>
      <c r="P181" s="22"/>
      <c r="Q181" s="22"/>
      <c r="R181" s="22"/>
      <c r="S181" s="22"/>
      <c r="T181" s="22"/>
    </row>
    <row r="182" spans="1:20" s="29" customFormat="1" x14ac:dyDescent="0.25">
      <c r="A182" s="25"/>
      <c r="B182" s="26" t="s">
        <v>37</v>
      </c>
      <c r="C182" s="27"/>
      <c r="D182" s="27"/>
      <c r="E182" s="27"/>
      <c r="F182" s="26"/>
      <c r="G182" s="26"/>
      <c r="H182" s="26"/>
      <c r="I182" s="26"/>
      <c r="J182" s="26"/>
      <c r="K182" s="26"/>
      <c r="L182" s="26"/>
      <c r="M182" s="26"/>
      <c r="N182" s="26"/>
      <c r="O182" s="26"/>
      <c r="P182" s="26"/>
      <c r="Q182" s="26"/>
      <c r="R182" s="26"/>
      <c r="S182" s="26"/>
      <c r="T182" s="28"/>
    </row>
    <row r="183" spans="1:20" s="29" customFormat="1" x14ac:dyDescent="0.25">
      <c r="A183" s="25"/>
      <c r="B183" s="26" t="s">
        <v>37</v>
      </c>
      <c r="C183" s="27"/>
      <c r="D183" s="27"/>
      <c r="E183" s="27"/>
      <c r="F183" s="26"/>
      <c r="G183" s="26"/>
      <c r="H183" s="26"/>
      <c r="I183" s="26"/>
      <c r="J183" s="26"/>
      <c r="K183" s="26"/>
      <c r="L183" s="26"/>
      <c r="M183" s="26"/>
      <c r="N183" s="26"/>
      <c r="O183" s="26"/>
      <c r="P183" s="26"/>
      <c r="Q183" s="26"/>
      <c r="R183" s="26"/>
      <c r="S183" s="26"/>
      <c r="T183" s="28"/>
    </row>
    <row r="184" spans="1:20" s="29" customFormat="1" x14ac:dyDescent="0.25">
      <c r="A184" s="25"/>
      <c r="B184" s="26" t="s">
        <v>37</v>
      </c>
      <c r="C184" s="27"/>
      <c r="D184" s="27"/>
      <c r="E184" s="27"/>
      <c r="F184" s="26"/>
      <c r="G184" s="26"/>
      <c r="H184" s="26"/>
      <c r="I184" s="26"/>
      <c r="J184" s="26"/>
      <c r="K184" s="26"/>
      <c r="L184" s="26"/>
      <c r="M184" s="26"/>
      <c r="N184" s="26"/>
      <c r="O184" s="26"/>
      <c r="P184" s="26"/>
      <c r="Q184" s="26"/>
      <c r="R184" s="26"/>
      <c r="S184" s="26"/>
      <c r="T184" s="28"/>
    </row>
    <row r="185" spans="1:20" s="29" customFormat="1" x14ac:dyDescent="0.25">
      <c r="A185" s="25"/>
      <c r="B185" s="26" t="s">
        <v>37</v>
      </c>
      <c r="C185" s="27"/>
      <c r="D185" s="27"/>
      <c r="E185" s="27"/>
      <c r="F185" s="26"/>
      <c r="G185" s="26"/>
      <c r="H185" s="26"/>
      <c r="I185" s="26"/>
      <c r="J185" s="26"/>
      <c r="K185" s="26"/>
      <c r="L185" s="26"/>
      <c r="M185" s="26"/>
      <c r="N185" s="26"/>
      <c r="O185" s="26"/>
      <c r="P185" s="26"/>
      <c r="Q185" s="26"/>
      <c r="R185" s="26"/>
      <c r="S185" s="26"/>
      <c r="T185" s="28"/>
    </row>
    <row r="186" spans="1:20" x14ac:dyDescent="0.25">
      <c r="A186" s="21" t="s">
        <v>14</v>
      </c>
      <c r="B186" s="22" t="s">
        <v>68</v>
      </c>
      <c r="C186" s="23"/>
      <c r="D186" s="23"/>
      <c r="E186" s="23"/>
      <c r="F186" s="42">
        <f t="shared" ref="F186:S186" si="12">SUM(F187:F192)</f>
        <v>17802</v>
      </c>
      <c r="G186" s="42">
        <f t="shared" si="12"/>
        <v>0</v>
      </c>
      <c r="H186" s="42">
        <f t="shared" si="12"/>
        <v>0</v>
      </c>
      <c r="I186" s="42">
        <f t="shared" si="12"/>
        <v>17802</v>
      </c>
      <c r="J186" s="42">
        <f t="shared" si="12"/>
        <v>0</v>
      </c>
      <c r="K186" s="42">
        <f t="shared" si="12"/>
        <v>0</v>
      </c>
      <c r="L186" s="42">
        <f t="shared" si="12"/>
        <v>0</v>
      </c>
      <c r="M186" s="42">
        <f t="shared" si="12"/>
        <v>0</v>
      </c>
      <c r="N186" s="42">
        <f t="shared" si="12"/>
        <v>0</v>
      </c>
      <c r="O186" s="42">
        <f t="shared" si="12"/>
        <v>0</v>
      </c>
      <c r="P186" s="42">
        <f t="shared" si="12"/>
        <v>4289</v>
      </c>
      <c r="Q186" s="42">
        <f t="shared" si="12"/>
        <v>0</v>
      </c>
      <c r="R186" s="42">
        <f t="shared" si="12"/>
        <v>0</v>
      </c>
      <c r="S186" s="42">
        <f t="shared" si="12"/>
        <v>9867</v>
      </c>
      <c r="T186" s="22"/>
    </row>
    <row r="187" spans="1:20" s="29" customFormat="1" x14ac:dyDescent="0.25">
      <c r="A187" s="25"/>
      <c r="B187" s="46" t="s">
        <v>93</v>
      </c>
      <c r="C187" s="27"/>
      <c r="D187" s="27"/>
      <c r="E187" s="27"/>
      <c r="F187" s="44">
        <f t="shared" ref="F187:F192" si="13">G187+H187+I187</f>
        <v>8172</v>
      </c>
      <c r="G187" s="44"/>
      <c r="H187" s="44"/>
      <c r="I187" s="44">
        <f>I206-I196</f>
        <v>8172</v>
      </c>
      <c r="J187" s="26"/>
      <c r="K187" s="26"/>
      <c r="L187" s="26"/>
      <c r="M187" s="26"/>
      <c r="N187" s="44"/>
      <c r="O187" s="44"/>
      <c r="P187" s="44"/>
      <c r="Q187" s="44"/>
      <c r="R187" s="44"/>
      <c r="S187" s="44"/>
      <c r="T187" s="28"/>
    </row>
    <row r="188" spans="1:20" s="29" customFormat="1" x14ac:dyDescent="0.25">
      <c r="A188" s="25"/>
      <c r="B188" s="46" t="s">
        <v>94</v>
      </c>
      <c r="C188" s="27"/>
      <c r="D188" s="27"/>
      <c r="E188" s="27"/>
      <c r="F188" s="44">
        <f t="shared" si="13"/>
        <v>3039</v>
      </c>
      <c r="G188" s="44"/>
      <c r="H188" s="44"/>
      <c r="I188" s="44">
        <f>I207-I197</f>
        <v>3039</v>
      </c>
      <c r="J188" s="26"/>
      <c r="K188" s="26"/>
      <c r="L188" s="26"/>
      <c r="M188" s="26"/>
      <c r="N188" s="44"/>
      <c r="O188" s="44"/>
      <c r="P188" s="44">
        <v>2737</v>
      </c>
      <c r="Q188" s="44"/>
      <c r="R188" s="44"/>
      <c r="S188" s="44">
        <f>P188+I188</f>
        <v>5776</v>
      </c>
      <c r="T188" s="28"/>
    </row>
    <row r="189" spans="1:20" s="29" customFormat="1" x14ac:dyDescent="0.25">
      <c r="A189" s="25"/>
      <c r="B189" s="46" t="s">
        <v>95</v>
      </c>
      <c r="C189" s="27"/>
      <c r="D189" s="27"/>
      <c r="E189" s="27"/>
      <c r="F189" s="44">
        <f t="shared" si="13"/>
        <v>2539</v>
      </c>
      <c r="G189" s="44"/>
      <c r="H189" s="44"/>
      <c r="I189" s="44">
        <f>I208-I198</f>
        <v>2539</v>
      </c>
      <c r="J189" s="26"/>
      <c r="K189" s="26"/>
      <c r="L189" s="26"/>
      <c r="M189" s="26"/>
      <c r="N189" s="44"/>
      <c r="O189" s="44"/>
      <c r="P189" s="44">
        <v>1552</v>
      </c>
      <c r="Q189" s="44"/>
      <c r="R189" s="44"/>
      <c r="S189" s="44">
        <f>P189+I189</f>
        <v>4091</v>
      </c>
      <c r="T189" s="28"/>
    </row>
    <row r="190" spans="1:20" s="29" customFormat="1" x14ac:dyDescent="0.25">
      <c r="A190" s="25"/>
      <c r="B190" s="46" t="s">
        <v>96</v>
      </c>
      <c r="C190" s="27"/>
      <c r="D190" s="27"/>
      <c r="E190" s="27"/>
      <c r="F190" s="44">
        <f t="shared" si="13"/>
        <v>1218</v>
      </c>
      <c r="G190" s="44"/>
      <c r="H190" s="44"/>
      <c r="I190" s="44">
        <f>I209-I199</f>
        <v>1218</v>
      </c>
      <c r="J190" s="26"/>
      <c r="K190" s="26"/>
      <c r="L190" s="26"/>
      <c r="M190" s="26"/>
      <c r="N190" s="44"/>
      <c r="O190" s="44"/>
      <c r="P190" s="44"/>
      <c r="Q190" s="44"/>
      <c r="R190" s="44"/>
      <c r="S190" s="44"/>
      <c r="T190" s="28"/>
    </row>
    <row r="191" spans="1:20" s="29" customFormat="1" x14ac:dyDescent="0.25">
      <c r="A191" s="25"/>
      <c r="B191" s="46" t="s">
        <v>97</v>
      </c>
      <c r="C191" s="27"/>
      <c r="D191" s="27"/>
      <c r="E191" s="27"/>
      <c r="F191" s="44">
        <f t="shared" si="13"/>
        <v>2834</v>
      </c>
      <c r="G191" s="44"/>
      <c r="H191" s="44"/>
      <c r="I191" s="44">
        <f>I210-I200</f>
        <v>2834</v>
      </c>
      <c r="J191" s="26"/>
      <c r="K191" s="26"/>
      <c r="L191" s="26"/>
      <c r="M191" s="26"/>
      <c r="N191" s="44"/>
      <c r="O191" s="44"/>
      <c r="P191" s="44"/>
      <c r="Q191" s="44"/>
      <c r="R191" s="44"/>
      <c r="S191" s="44"/>
      <c r="T191" s="28"/>
    </row>
    <row r="192" spans="1:20" s="29" customFormat="1" x14ac:dyDescent="0.25">
      <c r="A192" s="25"/>
      <c r="B192" s="46" t="s">
        <v>98</v>
      </c>
      <c r="C192" s="27"/>
      <c r="D192" s="27"/>
      <c r="E192" s="27"/>
      <c r="F192" s="44">
        <f t="shared" si="13"/>
        <v>0</v>
      </c>
      <c r="G192" s="44"/>
      <c r="H192" s="44"/>
      <c r="I192" s="44"/>
      <c r="J192" s="26"/>
      <c r="K192" s="26"/>
      <c r="L192" s="26"/>
      <c r="M192" s="26"/>
      <c r="N192" s="44"/>
      <c r="O192" s="44"/>
      <c r="P192" s="44"/>
      <c r="Q192" s="44"/>
      <c r="R192" s="44"/>
      <c r="S192" s="44"/>
      <c r="T192" s="28"/>
    </row>
    <row r="193" spans="1:20" x14ac:dyDescent="0.25">
      <c r="A193" s="21" t="s">
        <v>13</v>
      </c>
      <c r="B193" s="22" t="s">
        <v>43</v>
      </c>
      <c r="C193" s="23"/>
      <c r="D193" s="23"/>
      <c r="E193" s="23"/>
      <c r="F193" s="44"/>
      <c r="G193" s="44"/>
      <c r="H193" s="44"/>
      <c r="I193" s="44"/>
      <c r="J193" s="22"/>
      <c r="K193" s="22"/>
      <c r="L193" s="22"/>
      <c r="M193" s="22"/>
      <c r="N193" s="44"/>
      <c r="O193" s="44"/>
      <c r="P193" s="44"/>
      <c r="Q193" s="44"/>
      <c r="R193" s="44"/>
      <c r="S193" s="44"/>
      <c r="T193" s="22"/>
    </row>
    <row r="194" spans="1:20" s="2" customFormat="1" x14ac:dyDescent="0.25">
      <c r="A194" s="17">
        <v>2</v>
      </c>
      <c r="B194" s="18" t="s">
        <v>45</v>
      </c>
      <c r="C194" s="19"/>
      <c r="D194" s="19"/>
      <c r="E194" s="19"/>
      <c r="F194" s="37">
        <f>F195+F202+F204</f>
        <v>34929</v>
      </c>
      <c r="G194" s="37"/>
      <c r="H194" s="37"/>
      <c r="I194" s="37">
        <f>I195+I202+I204</f>
        <v>34929</v>
      </c>
      <c r="J194" s="18"/>
      <c r="K194" s="18"/>
      <c r="L194" s="18"/>
      <c r="M194" s="18"/>
      <c r="N194" s="18"/>
      <c r="O194" s="18"/>
      <c r="P194" s="37">
        <f>P195+P202+P204</f>
        <v>14894</v>
      </c>
      <c r="Q194" s="37"/>
      <c r="R194" s="37"/>
      <c r="S194" s="37">
        <f>S195+S202+S204</f>
        <v>14894</v>
      </c>
      <c r="T194" s="18"/>
    </row>
    <row r="195" spans="1:20" x14ac:dyDescent="0.25">
      <c r="A195" s="21" t="s">
        <v>15</v>
      </c>
      <c r="B195" s="22" t="s">
        <v>68</v>
      </c>
      <c r="C195" s="23"/>
      <c r="D195" s="23"/>
      <c r="E195" s="23"/>
      <c r="F195" s="42">
        <f>SUM(F196:F201)</f>
        <v>33936</v>
      </c>
      <c r="G195" s="42">
        <f t="shared" ref="G195:M195" si="14">SUM(G196:G201)</f>
        <v>0</v>
      </c>
      <c r="H195" s="42">
        <f t="shared" si="14"/>
        <v>0</v>
      </c>
      <c r="I195" s="42">
        <f t="shared" si="14"/>
        <v>33936</v>
      </c>
      <c r="J195" s="42">
        <f t="shared" si="14"/>
        <v>0</v>
      </c>
      <c r="K195" s="42">
        <f t="shared" si="14"/>
        <v>0</v>
      </c>
      <c r="L195" s="42">
        <f t="shared" si="14"/>
        <v>0</v>
      </c>
      <c r="M195" s="42">
        <f t="shared" si="14"/>
        <v>0</v>
      </c>
      <c r="N195" s="22"/>
      <c r="O195" s="22"/>
      <c r="P195" s="42">
        <f>SUM(P196:P201)</f>
        <v>13901</v>
      </c>
      <c r="Q195" s="42">
        <f>SUM(Q196:Q201)</f>
        <v>0</v>
      </c>
      <c r="R195" s="42">
        <f>SUM(R196:R201)</f>
        <v>0</v>
      </c>
      <c r="S195" s="42">
        <f>SUM(S196:S201)</f>
        <v>13901</v>
      </c>
      <c r="T195" s="22"/>
    </row>
    <row r="196" spans="1:20" s="29" customFormat="1" x14ac:dyDescent="0.25">
      <c r="A196" s="25"/>
      <c r="B196" s="46" t="s">
        <v>93</v>
      </c>
      <c r="C196" s="27"/>
      <c r="D196" s="27"/>
      <c r="E196" s="27"/>
      <c r="F196" s="44">
        <f t="shared" ref="F196:F201" si="15">G196+H196+I196</f>
        <v>6698</v>
      </c>
      <c r="G196" s="44"/>
      <c r="H196" s="44"/>
      <c r="I196" s="44">
        <f>1762+3708+1228</f>
        <v>6698</v>
      </c>
      <c r="J196" s="26"/>
      <c r="K196" s="26"/>
      <c r="L196" s="26"/>
      <c r="M196" s="26"/>
      <c r="N196" s="26"/>
      <c r="O196" s="26"/>
      <c r="P196" s="44"/>
      <c r="Q196" s="44"/>
      <c r="R196" s="44"/>
      <c r="S196" s="44"/>
      <c r="T196" s="28" t="s">
        <v>122</v>
      </c>
    </row>
    <row r="197" spans="1:20" s="29" customFormat="1" x14ac:dyDescent="0.25">
      <c r="A197" s="25"/>
      <c r="B197" s="46" t="s">
        <v>94</v>
      </c>
      <c r="C197" s="27"/>
      <c r="D197" s="27"/>
      <c r="E197" s="27"/>
      <c r="F197" s="44">
        <f t="shared" si="15"/>
        <v>8653</v>
      </c>
      <c r="G197" s="44"/>
      <c r="H197" s="44"/>
      <c r="I197" s="44">
        <v>8653</v>
      </c>
      <c r="J197" s="26"/>
      <c r="K197" s="26"/>
      <c r="L197" s="26"/>
      <c r="M197" s="26"/>
      <c r="N197" s="26"/>
      <c r="O197" s="26"/>
      <c r="P197" s="44">
        <f>Q197+R197+S197</f>
        <v>8653</v>
      </c>
      <c r="Q197" s="44"/>
      <c r="R197" s="44"/>
      <c r="S197" s="44">
        <v>8653</v>
      </c>
      <c r="T197" s="28"/>
    </row>
    <row r="198" spans="1:20" s="29" customFormat="1" x14ac:dyDescent="0.25">
      <c r="A198" s="25"/>
      <c r="B198" s="46" t="s">
        <v>95</v>
      </c>
      <c r="C198" s="27"/>
      <c r="D198" s="27"/>
      <c r="E198" s="27"/>
      <c r="F198" s="44">
        <f t="shared" si="15"/>
        <v>5248</v>
      </c>
      <c r="G198" s="44"/>
      <c r="H198" s="44"/>
      <c r="I198" s="44">
        <v>5248</v>
      </c>
      <c r="J198" s="26"/>
      <c r="K198" s="26"/>
      <c r="L198" s="26"/>
      <c r="M198" s="26"/>
      <c r="N198" s="26"/>
      <c r="O198" s="26"/>
      <c r="P198" s="44">
        <f>Q198+R198+S198</f>
        <v>5248</v>
      </c>
      <c r="Q198" s="44"/>
      <c r="R198" s="44"/>
      <c r="S198" s="44">
        <v>5248</v>
      </c>
      <c r="T198" s="28"/>
    </row>
    <row r="199" spans="1:20" s="29" customFormat="1" x14ac:dyDescent="0.25">
      <c r="A199" s="25"/>
      <c r="B199" s="46" t="s">
        <v>96</v>
      </c>
      <c r="C199" s="27"/>
      <c r="D199" s="27"/>
      <c r="E199" s="27"/>
      <c r="F199" s="44">
        <f t="shared" si="15"/>
        <v>8132</v>
      </c>
      <c r="G199" s="44"/>
      <c r="H199" s="44"/>
      <c r="I199" s="44">
        <v>8132</v>
      </c>
      <c r="J199" s="26"/>
      <c r="K199" s="26"/>
      <c r="L199" s="26"/>
      <c r="M199" s="26"/>
      <c r="N199" s="26"/>
      <c r="O199" s="26"/>
      <c r="P199" s="44"/>
      <c r="Q199" s="44"/>
      <c r="R199" s="44"/>
      <c r="S199" s="44"/>
      <c r="T199" s="28"/>
    </row>
    <row r="200" spans="1:20" s="29" customFormat="1" x14ac:dyDescent="0.25">
      <c r="A200" s="25"/>
      <c r="B200" s="46" t="s">
        <v>97</v>
      </c>
      <c r="C200" s="27"/>
      <c r="D200" s="27"/>
      <c r="E200" s="27"/>
      <c r="F200" s="44">
        <f t="shared" si="15"/>
        <v>5205</v>
      </c>
      <c r="G200" s="74"/>
      <c r="H200" s="74"/>
      <c r="I200" s="74">
        <f>928+2265+2012</f>
        <v>5205</v>
      </c>
      <c r="J200" s="26"/>
      <c r="K200" s="26"/>
      <c r="L200" s="26"/>
      <c r="M200" s="26"/>
      <c r="N200" s="26"/>
      <c r="O200" s="26"/>
      <c r="P200" s="74"/>
      <c r="Q200" s="74"/>
      <c r="R200" s="74"/>
      <c r="S200" s="74"/>
      <c r="T200" s="28"/>
    </row>
    <row r="201" spans="1:20" s="29" customFormat="1" x14ac:dyDescent="0.25">
      <c r="A201" s="25"/>
      <c r="B201" s="46" t="s">
        <v>98</v>
      </c>
      <c r="C201" s="27"/>
      <c r="D201" s="27"/>
      <c r="E201" s="27"/>
      <c r="F201" s="44">
        <f t="shared" si="15"/>
        <v>0</v>
      </c>
      <c r="G201" s="74"/>
      <c r="H201" s="74"/>
      <c r="I201" s="74"/>
      <c r="J201" s="26"/>
      <c r="K201" s="26"/>
      <c r="L201" s="26"/>
      <c r="M201" s="26"/>
      <c r="N201" s="26"/>
      <c r="O201" s="26"/>
      <c r="P201" s="74"/>
      <c r="Q201" s="74"/>
      <c r="R201" s="74"/>
      <c r="S201" s="74"/>
      <c r="T201" s="28"/>
    </row>
    <row r="202" spans="1:20" ht="37.5" x14ac:dyDescent="0.25">
      <c r="A202" s="21" t="s">
        <v>16</v>
      </c>
      <c r="B202" s="32" t="s">
        <v>74</v>
      </c>
      <c r="C202" s="23"/>
      <c r="D202" s="23"/>
      <c r="E202" s="23"/>
      <c r="F202" s="74">
        <f>F203</f>
        <v>993</v>
      </c>
      <c r="G202" s="74"/>
      <c r="H202" s="74"/>
      <c r="I202" s="74">
        <f>I203</f>
        <v>993</v>
      </c>
      <c r="J202" s="22"/>
      <c r="K202" s="22"/>
      <c r="L202" s="22"/>
      <c r="M202" s="22"/>
      <c r="N202" s="22"/>
      <c r="O202" s="22"/>
      <c r="P202" s="74">
        <f>P203</f>
        <v>993</v>
      </c>
      <c r="Q202" s="74"/>
      <c r="R202" s="74"/>
      <c r="S202" s="74">
        <f>S203</f>
        <v>993</v>
      </c>
      <c r="T202" s="22"/>
    </row>
    <row r="203" spans="1:20" ht="33" x14ac:dyDescent="0.25">
      <c r="A203" s="21"/>
      <c r="B203" s="50" t="s">
        <v>99</v>
      </c>
      <c r="C203" s="23"/>
      <c r="D203" s="23"/>
      <c r="E203" s="23"/>
      <c r="F203" s="74">
        <v>993</v>
      </c>
      <c r="G203" s="74"/>
      <c r="H203" s="74"/>
      <c r="I203" s="74">
        <v>993</v>
      </c>
      <c r="J203" s="22"/>
      <c r="K203" s="22"/>
      <c r="L203" s="22"/>
      <c r="M203" s="22"/>
      <c r="N203" s="22"/>
      <c r="O203" s="22"/>
      <c r="P203" s="74">
        <v>993</v>
      </c>
      <c r="Q203" s="74"/>
      <c r="R203" s="74"/>
      <c r="S203" s="74">
        <v>993</v>
      </c>
      <c r="T203" s="22"/>
    </row>
    <row r="204" spans="1:20" x14ac:dyDescent="0.25">
      <c r="A204" s="21" t="s">
        <v>48</v>
      </c>
      <c r="B204" s="22" t="s">
        <v>49</v>
      </c>
      <c r="C204" s="23"/>
      <c r="D204" s="23"/>
      <c r="E204" s="23"/>
      <c r="F204" s="22"/>
      <c r="G204" s="22"/>
      <c r="H204" s="22"/>
      <c r="I204" s="22"/>
      <c r="J204" s="22"/>
      <c r="K204" s="22"/>
      <c r="L204" s="22"/>
      <c r="M204" s="22"/>
      <c r="N204" s="22"/>
      <c r="O204" s="22"/>
      <c r="P204" s="22"/>
      <c r="Q204" s="22"/>
      <c r="R204" s="22"/>
      <c r="S204" s="22"/>
      <c r="T204" s="22"/>
    </row>
    <row r="205" spans="1:20" x14ac:dyDescent="0.25">
      <c r="A205" s="17">
        <v>3</v>
      </c>
      <c r="B205" s="18" t="s">
        <v>51</v>
      </c>
      <c r="C205" s="23"/>
      <c r="D205" s="23"/>
      <c r="E205" s="23"/>
      <c r="F205" s="47">
        <f>SUM(F206:F211)</f>
        <v>464755</v>
      </c>
      <c r="G205" s="22"/>
      <c r="H205" s="22"/>
      <c r="I205" s="47">
        <f>SUM(I206:I211)</f>
        <v>464755</v>
      </c>
      <c r="J205" s="22"/>
      <c r="K205" s="22"/>
      <c r="L205" s="22"/>
      <c r="M205" s="22"/>
      <c r="N205" s="22"/>
      <c r="O205" s="22"/>
      <c r="P205" s="22"/>
      <c r="Q205" s="22"/>
      <c r="R205" s="22"/>
      <c r="S205" s="22"/>
      <c r="T205" s="22"/>
    </row>
    <row r="206" spans="1:20" s="29" customFormat="1" x14ac:dyDescent="0.25">
      <c r="A206" s="25" t="s">
        <v>17</v>
      </c>
      <c r="B206" s="46" t="s">
        <v>93</v>
      </c>
      <c r="C206" s="27"/>
      <c r="D206" s="27"/>
      <c r="E206" s="27"/>
      <c r="F206" s="44">
        <f t="shared" ref="F206:F211" si="16">G206+H206+I206</f>
        <v>14870</v>
      </c>
      <c r="G206" s="26"/>
      <c r="H206" s="26"/>
      <c r="I206" s="44">
        <v>14870</v>
      </c>
      <c r="J206" s="26"/>
      <c r="K206" s="26"/>
      <c r="L206" s="26"/>
      <c r="M206" s="26"/>
      <c r="N206" s="26"/>
      <c r="O206" s="26"/>
      <c r="P206" s="26"/>
      <c r="Q206" s="26"/>
      <c r="R206" s="26"/>
      <c r="S206" s="26"/>
      <c r="T206" s="26"/>
    </row>
    <row r="207" spans="1:20" s="29" customFormat="1" x14ac:dyDescent="0.25">
      <c r="A207" s="25" t="s">
        <v>18</v>
      </c>
      <c r="B207" s="46" t="s">
        <v>94</v>
      </c>
      <c r="C207" s="27"/>
      <c r="D207" s="27"/>
      <c r="E207" s="27"/>
      <c r="F207" s="44">
        <f t="shared" si="16"/>
        <v>11692</v>
      </c>
      <c r="G207" s="26"/>
      <c r="H207" s="26"/>
      <c r="I207" s="44">
        <v>11692</v>
      </c>
      <c r="J207" s="26"/>
      <c r="K207" s="26"/>
      <c r="L207" s="26"/>
      <c r="M207" s="26"/>
      <c r="N207" s="26"/>
      <c r="O207" s="26"/>
      <c r="P207" s="26"/>
      <c r="Q207" s="26"/>
      <c r="R207" s="26"/>
      <c r="S207" s="26"/>
      <c r="T207" s="26"/>
    </row>
    <row r="208" spans="1:20" s="29" customFormat="1" x14ac:dyDescent="0.25">
      <c r="A208" s="25" t="s">
        <v>53</v>
      </c>
      <c r="B208" s="46" t="s">
        <v>95</v>
      </c>
      <c r="C208" s="27"/>
      <c r="D208" s="27"/>
      <c r="E208" s="27"/>
      <c r="F208" s="44">
        <f t="shared" si="16"/>
        <v>7787</v>
      </c>
      <c r="G208" s="26"/>
      <c r="H208" s="26"/>
      <c r="I208" s="44">
        <v>7787</v>
      </c>
      <c r="J208" s="26"/>
      <c r="K208" s="26"/>
      <c r="L208" s="26"/>
      <c r="M208" s="26"/>
      <c r="N208" s="26"/>
      <c r="O208" s="26"/>
      <c r="P208" s="26"/>
      <c r="Q208" s="26"/>
      <c r="R208" s="26"/>
      <c r="S208" s="26"/>
      <c r="T208" s="26"/>
    </row>
    <row r="209" spans="1:20" s="29" customFormat="1" x14ac:dyDescent="0.25">
      <c r="A209" s="25" t="s">
        <v>54</v>
      </c>
      <c r="B209" s="46" t="s">
        <v>96</v>
      </c>
      <c r="C209" s="27"/>
      <c r="D209" s="27"/>
      <c r="E209" s="27"/>
      <c r="F209" s="44">
        <f t="shared" si="16"/>
        <v>9350</v>
      </c>
      <c r="G209" s="26"/>
      <c r="H209" s="26"/>
      <c r="I209" s="44">
        <v>9350</v>
      </c>
      <c r="J209" s="26"/>
      <c r="K209" s="26"/>
      <c r="L209" s="26"/>
      <c r="M209" s="26"/>
      <c r="N209" s="26"/>
      <c r="O209" s="26"/>
      <c r="P209" s="26"/>
      <c r="Q209" s="26"/>
      <c r="R209" s="26"/>
      <c r="S209" s="26"/>
      <c r="T209" s="26"/>
    </row>
    <row r="210" spans="1:20" s="29" customFormat="1" x14ac:dyDescent="0.25">
      <c r="A210" s="25" t="s">
        <v>64</v>
      </c>
      <c r="B210" s="46" t="s">
        <v>97</v>
      </c>
      <c r="C210" s="27"/>
      <c r="D210" s="27"/>
      <c r="E210" s="27"/>
      <c r="F210" s="44">
        <f t="shared" si="16"/>
        <v>8039</v>
      </c>
      <c r="G210" s="26"/>
      <c r="H210" s="26"/>
      <c r="I210" s="44">
        <v>8039</v>
      </c>
      <c r="J210" s="26"/>
      <c r="K210" s="26"/>
      <c r="L210" s="26"/>
      <c r="M210" s="26"/>
      <c r="N210" s="26"/>
      <c r="O210" s="26"/>
      <c r="P210" s="26"/>
      <c r="Q210" s="26"/>
      <c r="R210" s="26"/>
      <c r="S210" s="26"/>
      <c r="T210" s="26"/>
    </row>
    <row r="211" spans="1:20" s="29" customFormat="1" x14ac:dyDescent="0.25">
      <c r="A211" s="25" t="s">
        <v>65</v>
      </c>
      <c r="B211" s="46" t="s">
        <v>98</v>
      </c>
      <c r="C211" s="27"/>
      <c r="D211" s="27"/>
      <c r="E211" s="27"/>
      <c r="F211" s="44">
        <f t="shared" si="16"/>
        <v>413017</v>
      </c>
      <c r="G211" s="26"/>
      <c r="H211" s="26"/>
      <c r="I211" s="44">
        <v>413017</v>
      </c>
      <c r="J211" s="26"/>
      <c r="K211" s="26"/>
      <c r="L211" s="26"/>
      <c r="M211" s="26"/>
      <c r="N211" s="26"/>
      <c r="O211" s="26"/>
      <c r="P211" s="26"/>
      <c r="Q211" s="26"/>
      <c r="R211" s="26"/>
      <c r="S211" s="26"/>
      <c r="T211" s="26"/>
    </row>
    <row r="212" spans="1:20" s="39" customFormat="1" x14ac:dyDescent="0.25">
      <c r="A212" s="11" t="s">
        <v>8</v>
      </c>
      <c r="B212" s="12" t="s">
        <v>100</v>
      </c>
      <c r="C212" s="13">
        <v>467623.06924400001</v>
      </c>
      <c r="D212" s="13">
        <v>456586.04639700003</v>
      </c>
      <c r="E212" s="13">
        <v>11037.022847</v>
      </c>
      <c r="F212" s="14">
        <f>F233+F213</f>
        <v>466630</v>
      </c>
      <c r="G212" s="14">
        <f>G233+G213</f>
        <v>1596</v>
      </c>
      <c r="H212" s="14">
        <f>H233+H213</f>
        <v>0</v>
      </c>
      <c r="I212" s="14">
        <f>I233+I213</f>
        <v>465034</v>
      </c>
      <c r="J212" s="14">
        <f>F212-C212</f>
        <v>-993.06924400001299</v>
      </c>
      <c r="K212" s="14">
        <f>G212</f>
        <v>1596</v>
      </c>
      <c r="L212" s="14">
        <f>H212-D212</f>
        <v>-456586.04639700003</v>
      </c>
      <c r="M212" s="14">
        <f>I212-E212</f>
        <v>453996.97715300001</v>
      </c>
      <c r="N212" s="49"/>
      <c r="O212" s="49"/>
      <c r="P212" s="49"/>
      <c r="Q212" s="49"/>
      <c r="R212" s="49"/>
      <c r="S212" s="49"/>
      <c r="T212" s="15"/>
    </row>
    <row r="213" spans="1:20" s="2" customFormat="1" x14ac:dyDescent="0.25">
      <c r="A213" s="17">
        <v>1</v>
      </c>
      <c r="B213" s="18" t="s">
        <v>34</v>
      </c>
      <c r="C213" s="19"/>
      <c r="D213" s="19"/>
      <c r="E213" s="19"/>
      <c r="F213" s="47">
        <f>F214</f>
        <v>1596</v>
      </c>
      <c r="G213" s="47">
        <f>G214</f>
        <v>1596</v>
      </c>
      <c r="H213" s="47">
        <f>H214</f>
        <v>0</v>
      </c>
      <c r="I213" s="47">
        <f>I214</f>
        <v>0</v>
      </c>
      <c r="J213" s="18"/>
      <c r="K213" s="18"/>
      <c r="L213" s="18"/>
      <c r="M213" s="18"/>
      <c r="N213" s="18"/>
      <c r="O213" s="18"/>
      <c r="P213" s="18"/>
      <c r="Q213" s="18"/>
      <c r="R213" s="18"/>
      <c r="S213" s="18"/>
      <c r="T213" s="18"/>
    </row>
    <row r="214" spans="1:20" x14ac:dyDescent="0.25">
      <c r="A214" s="21" t="s">
        <v>12</v>
      </c>
      <c r="B214" s="22" t="s">
        <v>36</v>
      </c>
      <c r="C214" s="23"/>
      <c r="D214" s="23"/>
      <c r="E214" s="23"/>
      <c r="F214" s="36">
        <f>G214</f>
        <v>1596</v>
      </c>
      <c r="G214" s="36">
        <f>2589-993</f>
        <v>1596</v>
      </c>
      <c r="H214" s="22"/>
      <c r="I214" s="22"/>
      <c r="J214" s="22"/>
      <c r="K214" s="22"/>
      <c r="L214" s="22"/>
      <c r="M214" s="22"/>
      <c r="N214" s="22"/>
      <c r="O214" s="22"/>
      <c r="P214" s="22"/>
      <c r="Q214" s="22"/>
      <c r="R214" s="22"/>
      <c r="S214" s="22"/>
      <c r="T214" s="22"/>
    </row>
    <row r="215" spans="1:20" s="29" customFormat="1" x14ac:dyDescent="0.25">
      <c r="A215" s="25"/>
      <c r="B215" s="26" t="s">
        <v>37</v>
      </c>
      <c r="C215" s="27"/>
      <c r="D215" s="27"/>
      <c r="E215" s="27"/>
      <c r="F215" s="26"/>
      <c r="G215" s="26"/>
      <c r="H215" s="26"/>
      <c r="I215" s="26"/>
      <c r="J215" s="26"/>
      <c r="K215" s="26"/>
      <c r="L215" s="26"/>
      <c r="M215" s="26"/>
      <c r="N215" s="26"/>
      <c r="O215" s="26"/>
      <c r="P215" s="26"/>
      <c r="Q215" s="26"/>
      <c r="R215" s="26"/>
      <c r="S215" s="26"/>
      <c r="T215" s="28"/>
    </row>
    <row r="216" spans="1:20" s="29" customFormat="1" x14ac:dyDescent="0.25">
      <c r="A216" s="25"/>
      <c r="B216" s="26" t="s">
        <v>37</v>
      </c>
      <c r="C216" s="27"/>
      <c r="D216" s="27"/>
      <c r="E216" s="27"/>
      <c r="F216" s="26"/>
      <c r="G216" s="26"/>
      <c r="H216" s="26"/>
      <c r="I216" s="26"/>
      <c r="J216" s="26"/>
      <c r="K216" s="26"/>
      <c r="L216" s="26"/>
      <c r="M216" s="26"/>
      <c r="N216" s="26"/>
      <c r="O216" s="26"/>
      <c r="P216" s="26"/>
      <c r="Q216" s="26"/>
      <c r="R216" s="26"/>
      <c r="S216" s="26"/>
      <c r="T216" s="28"/>
    </row>
    <row r="217" spans="1:20" s="29" customFormat="1" x14ac:dyDescent="0.25">
      <c r="A217" s="25"/>
      <c r="B217" s="26" t="s">
        <v>37</v>
      </c>
      <c r="C217" s="27"/>
      <c r="D217" s="27"/>
      <c r="E217" s="27"/>
      <c r="F217" s="26"/>
      <c r="G217" s="26"/>
      <c r="H217" s="26"/>
      <c r="I217" s="26"/>
      <c r="J217" s="26"/>
      <c r="K217" s="26"/>
      <c r="L217" s="26"/>
      <c r="M217" s="26"/>
      <c r="N217" s="26"/>
      <c r="O217" s="26"/>
      <c r="P217" s="26"/>
      <c r="Q217" s="26"/>
      <c r="R217" s="26"/>
      <c r="S217" s="26"/>
      <c r="T217" s="28"/>
    </row>
    <row r="218" spans="1:20" s="29" customFormat="1" x14ac:dyDescent="0.25">
      <c r="A218" s="25"/>
      <c r="B218" s="26" t="s">
        <v>37</v>
      </c>
      <c r="C218" s="27"/>
      <c r="D218" s="27"/>
      <c r="E218" s="27"/>
      <c r="F218" s="26"/>
      <c r="G218" s="26"/>
      <c r="H218" s="26"/>
      <c r="I218" s="26"/>
      <c r="J218" s="26"/>
      <c r="K218" s="26"/>
      <c r="L218" s="26"/>
      <c r="M218" s="26"/>
      <c r="N218" s="26"/>
      <c r="O218" s="26"/>
      <c r="P218" s="26"/>
      <c r="Q218" s="26"/>
      <c r="R218" s="26"/>
      <c r="S218" s="26"/>
      <c r="T218" s="28"/>
    </row>
    <row r="219" spans="1:20" x14ac:dyDescent="0.25">
      <c r="A219" s="21" t="s">
        <v>14</v>
      </c>
      <c r="B219" s="22" t="s">
        <v>68</v>
      </c>
      <c r="C219" s="23"/>
      <c r="D219" s="23"/>
      <c r="E219" s="23"/>
      <c r="F219" s="22"/>
      <c r="G219" s="22"/>
      <c r="H219" s="22"/>
      <c r="I219" s="22"/>
      <c r="J219" s="22"/>
      <c r="K219" s="22"/>
      <c r="L219" s="22"/>
      <c r="M219" s="22"/>
      <c r="N219" s="22"/>
      <c r="O219" s="22"/>
      <c r="P219" s="22"/>
      <c r="Q219" s="22"/>
      <c r="R219" s="22"/>
      <c r="S219" s="22"/>
      <c r="T219" s="22"/>
    </row>
    <row r="220" spans="1:20" x14ac:dyDescent="0.25">
      <c r="A220" s="21"/>
      <c r="B220" s="51" t="s">
        <v>101</v>
      </c>
      <c r="C220" s="23"/>
      <c r="D220" s="23"/>
      <c r="E220" s="23"/>
      <c r="F220" s="22"/>
      <c r="G220" s="22"/>
      <c r="H220" s="22"/>
      <c r="I220" s="22"/>
      <c r="J220" s="22"/>
      <c r="K220" s="22"/>
      <c r="L220" s="22"/>
      <c r="M220" s="22"/>
      <c r="N220" s="22"/>
      <c r="O220" s="22"/>
      <c r="P220" s="22"/>
      <c r="Q220" s="22"/>
      <c r="R220" s="22"/>
      <c r="S220" s="22"/>
      <c r="T220" s="24"/>
    </row>
    <row r="221" spans="1:20" x14ac:dyDescent="0.25">
      <c r="A221" s="21"/>
      <c r="B221" s="51" t="s">
        <v>102</v>
      </c>
      <c r="C221" s="23"/>
      <c r="D221" s="23"/>
      <c r="E221" s="23"/>
      <c r="F221" s="22"/>
      <c r="G221" s="22"/>
      <c r="H221" s="22"/>
      <c r="I221" s="22"/>
      <c r="J221" s="22"/>
      <c r="K221" s="22"/>
      <c r="L221" s="22"/>
      <c r="M221" s="22"/>
      <c r="N221" s="22"/>
      <c r="O221" s="22"/>
      <c r="P221" s="22"/>
      <c r="Q221" s="22"/>
      <c r="R221" s="22"/>
      <c r="S221" s="22"/>
      <c r="T221" s="24"/>
    </row>
    <row r="222" spans="1:20" x14ac:dyDescent="0.25">
      <c r="A222" s="21" t="s">
        <v>13</v>
      </c>
      <c r="B222" s="22" t="s">
        <v>43</v>
      </c>
      <c r="C222" s="23"/>
      <c r="D222" s="23"/>
      <c r="E222" s="23"/>
      <c r="F222" s="22"/>
      <c r="G222" s="22"/>
      <c r="H222" s="22"/>
      <c r="I222" s="22"/>
      <c r="J222" s="22"/>
      <c r="K222" s="22"/>
      <c r="L222" s="22"/>
      <c r="M222" s="22"/>
      <c r="N222" s="22"/>
      <c r="O222" s="22"/>
      <c r="P222" s="22"/>
      <c r="Q222" s="22"/>
      <c r="R222" s="22"/>
      <c r="S222" s="22"/>
      <c r="T222" s="22"/>
    </row>
    <row r="223" spans="1:20" s="29" customFormat="1" x14ac:dyDescent="0.25">
      <c r="A223" s="25"/>
      <c r="B223" s="26" t="s">
        <v>44</v>
      </c>
      <c r="C223" s="27"/>
      <c r="D223" s="27"/>
      <c r="E223" s="27"/>
      <c r="F223" s="26"/>
      <c r="G223" s="26"/>
      <c r="H223" s="26"/>
      <c r="I223" s="26"/>
      <c r="J223" s="26"/>
      <c r="K223" s="26"/>
      <c r="L223" s="26"/>
      <c r="M223" s="26"/>
      <c r="N223" s="26"/>
      <c r="O223" s="26"/>
      <c r="P223" s="26"/>
      <c r="Q223" s="26"/>
      <c r="R223" s="26"/>
      <c r="S223" s="26"/>
      <c r="T223" s="28"/>
    </row>
    <row r="224" spans="1:20" s="29" customFormat="1" x14ac:dyDescent="0.25">
      <c r="A224" s="25"/>
      <c r="B224" s="26" t="s">
        <v>44</v>
      </c>
      <c r="C224" s="27"/>
      <c r="D224" s="27"/>
      <c r="E224" s="27"/>
      <c r="F224" s="26"/>
      <c r="G224" s="26"/>
      <c r="H224" s="26"/>
      <c r="I224" s="26"/>
      <c r="J224" s="26"/>
      <c r="K224" s="26"/>
      <c r="L224" s="26"/>
      <c r="M224" s="26"/>
      <c r="N224" s="26"/>
      <c r="O224" s="26"/>
      <c r="P224" s="26"/>
      <c r="Q224" s="26"/>
      <c r="R224" s="26"/>
      <c r="S224" s="26"/>
      <c r="T224" s="28"/>
    </row>
    <row r="225" spans="1:20" s="29" customFormat="1" x14ac:dyDescent="0.25">
      <c r="A225" s="25"/>
      <c r="B225" s="26" t="s">
        <v>44</v>
      </c>
      <c r="C225" s="27"/>
      <c r="D225" s="27"/>
      <c r="E225" s="27"/>
      <c r="F225" s="26"/>
      <c r="G225" s="26"/>
      <c r="H225" s="26"/>
      <c r="I225" s="26"/>
      <c r="J225" s="26"/>
      <c r="K225" s="26"/>
      <c r="L225" s="26"/>
      <c r="M225" s="26"/>
      <c r="N225" s="26"/>
      <c r="O225" s="26"/>
      <c r="P225" s="26"/>
      <c r="Q225" s="26"/>
      <c r="R225" s="26"/>
      <c r="S225" s="26"/>
      <c r="T225" s="28"/>
    </row>
    <row r="226" spans="1:20" s="2" customFormat="1" x14ac:dyDescent="0.25">
      <c r="A226" s="17">
        <v>2</v>
      </c>
      <c r="B226" s="18" t="s">
        <v>45</v>
      </c>
      <c r="C226" s="19"/>
      <c r="D226" s="19"/>
      <c r="E226" s="19"/>
      <c r="F226" s="18"/>
      <c r="G226" s="18"/>
      <c r="H226" s="18"/>
      <c r="I226" s="18"/>
      <c r="J226" s="18"/>
      <c r="K226" s="18"/>
      <c r="L226" s="18"/>
      <c r="M226" s="18"/>
      <c r="N226" s="18"/>
      <c r="O226" s="18"/>
      <c r="P226" s="18"/>
      <c r="Q226" s="18"/>
      <c r="R226" s="18"/>
      <c r="S226" s="18"/>
      <c r="T226" s="18"/>
    </row>
    <row r="227" spans="1:20" x14ac:dyDescent="0.25">
      <c r="A227" s="21" t="s">
        <v>15</v>
      </c>
      <c r="B227" s="22" t="s">
        <v>68</v>
      </c>
      <c r="C227" s="23"/>
      <c r="D227" s="23"/>
      <c r="E227" s="23"/>
      <c r="F227" s="22"/>
      <c r="G227" s="22"/>
      <c r="H227" s="22"/>
      <c r="I227" s="22"/>
      <c r="J227" s="22"/>
      <c r="K227" s="22"/>
      <c r="L227" s="22"/>
      <c r="M227" s="22"/>
      <c r="N227" s="22"/>
      <c r="O227" s="22"/>
      <c r="P227" s="22"/>
      <c r="Q227" s="22"/>
      <c r="R227" s="22"/>
      <c r="S227" s="22"/>
      <c r="T227" s="22"/>
    </row>
    <row r="228" spans="1:20" s="29" customFormat="1" x14ac:dyDescent="0.25">
      <c r="A228" s="25"/>
      <c r="B228" s="46" t="s">
        <v>101</v>
      </c>
      <c r="C228" s="27"/>
      <c r="D228" s="27"/>
      <c r="E228" s="27"/>
      <c r="F228" s="26"/>
      <c r="G228" s="26"/>
      <c r="H228" s="26"/>
      <c r="I228" s="26"/>
      <c r="J228" s="26"/>
      <c r="K228" s="26"/>
      <c r="L228" s="26"/>
      <c r="M228" s="26"/>
      <c r="N228" s="26"/>
      <c r="O228" s="26"/>
      <c r="P228" s="26"/>
      <c r="Q228" s="26"/>
      <c r="R228" s="26"/>
      <c r="S228" s="26"/>
      <c r="T228" s="28"/>
    </row>
    <row r="229" spans="1:20" s="29" customFormat="1" x14ac:dyDescent="0.25">
      <c r="A229" s="25"/>
      <c r="B229" s="46" t="s">
        <v>102</v>
      </c>
      <c r="C229" s="27"/>
      <c r="D229" s="27"/>
      <c r="E229" s="27"/>
      <c r="F229" s="26"/>
      <c r="G229" s="26"/>
      <c r="H229" s="26"/>
      <c r="I229" s="26"/>
      <c r="J229" s="26"/>
      <c r="K229" s="26"/>
      <c r="L229" s="26"/>
      <c r="M229" s="26"/>
      <c r="N229" s="26"/>
      <c r="O229" s="26"/>
      <c r="P229" s="26"/>
      <c r="Q229" s="26"/>
      <c r="R229" s="26"/>
      <c r="S229" s="26"/>
      <c r="T229" s="28"/>
    </row>
    <row r="230" spans="1:20" ht="37.5" x14ac:dyDescent="0.25">
      <c r="A230" s="21" t="s">
        <v>16</v>
      </c>
      <c r="B230" s="32" t="s">
        <v>74</v>
      </c>
      <c r="C230" s="23"/>
      <c r="D230" s="23"/>
      <c r="E230" s="23"/>
      <c r="F230" s="22"/>
      <c r="G230" s="22"/>
      <c r="H230" s="22"/>
      <c r="I230" s="22"/>
      <c r="J230" s="22"/>
      <c r="K230" s="22"/>
      <c r="L230" s="22"/>
      <c r="M230" s="22"/>
      <c r="N230" s="22"/>
      <c r="O230" s="22"/>
      <c r="P230" s="22"/>
      <c r="Q230" s="22"/>
      <c r="R230" s="22"/>
      <c r="S230" s="22"/>
      <c r="T230" s="22"/>
    </row>
    <row r="231" spans="1:20" x14ac:dyDescent="0.25">
      <c r="A231" s="21" t="s">
        <v>48</v>
      </c>
      <c r="B231" s="22" t="s">
        <v>49</v>
      </c>
      <c r="C231" s="23"/>
      <c r="D231" s="23"/>
      <c r="E231" s="23"/>
      <c r="F231" s="22">
        <f>F232</f>
        <v>-993</v>
      </c>
      <c r="G231" s="22"/>
      <c r="H231" s="22"/>
      <c r="I231" s="22">
        <f>I232</f>
        <v>-993</v>
      </c>
      <c r="J231" s="22"/>
      <c r="K231" s="22"/>
      <c r="L231" s="22"/>
      <c r="M231" s="22"/>
      <c r="N231" s="22"/>
      <c r="O231" s="22"/>
      <c r="P231" s="22"/>
      <c r="Q231" s="22"/>
      <c r="R231" s="22"/>
      <c r="S231" s="22"/>
      <c r="T231" s="22"/>
    </row>
    <row r="232" spans="1:20" ht="33" x14ac:dyDescent="0.25">
      <c r="A232" s="21"/>
      <c r="B232" s="50" t="s">
        <v>103</v>
      </c>
      <c r="C232" s="23"/>
      <c r="D232" s="23"/>
      <c r="E232" s="23"/>
      <c r="F232" s="26">
        <v>-993</v>
      </c>
      <c r="G232" s="22"/>
      <c r="H232" s="22"/>
      <c r="I232" s="26">
        <v>-993</v>
      </c>
      <c r="J232" s="22"/>
      <c r="K232" s="22"/>
      <c r="L232" s="22"/>
      <c r="M232" s="22"/>
      <c r="N232" s="22"/>
      <c r="O232" s="22"/>
      <c r="P232" s="22"/>
      <c r="Q232" s="22"/>
      <c r="R232" s="22"/>
      <c r="S232" s="22"/>
      <c r="T232" s="22"/>
    </row>
    <row r="233" spans="1:20" x14ac:dyDescent="0.25">
      <c r="A233" s="17">
        <v>3</v>
      </c>
      <c r="B233" s="18" t="s">
        <v>51</v>
      </c>
      <c r="C233" s="23"/>
      <c r="D233" s="23"/>
      <c r="E233" s="23"/>
      <c r="F233" s="47">
        <f>F234+F235</f>
        <v>465034</v>
      </c>
      <c r="G233" s="22"/>
      <c r="H233" s="22"/>
      <c r="I233" s="47">
        <f>I234+I235</f>
        <v>465034</v>
      </c>
      <c r="J233" s="22"/>
      <c r="K233" s="22"/>
      <c r="L233" s="22"/>
      <c r="M233" s="22"/>
      <c r="N233" s="22"/>
      <c r="O233" s="22"/>
      <c r="P233" s="22"/>
      <c r="Q233" s="22"/>
      <c r="R233" s="22"/>
      <c r="S233" s="22"/>
      <c r="T233" s="22"/>
    </row>
    <row r="234" spans="1:20" s="29" customFormat="1" x14ac:dyDescent="0.25">
      <c r="A234" s="25" t="s">
        <v>17</v>
      </c>
      <c r="B234" s="46" t="s">
        <v>101</v>
      </c>
      <c r="C234" s="27"/>
      <c r="D234" s="27"/>
      <c r="E234" s="27"/>
      <c r="F234" s="52">
        <v>461976</v>
      </c>
      <c r="G234" s="26"/>
      <c r="H234" s="26"/>
      <c r="I234" s="52">
        <v>461976</v>
      </c>
      <c r="J234" s="26"/>
      <c r="K234" s="26"/>
      <c r="L234" s="26"/>
      <c r="M234" s="26"/>
      <c r="N234" s="26"/>
      <c r="O234" s="26"/>
      <c r="P234" s="26"/>
      <c r="Q234" s="26"/>
      <c r="R234" s="26"/>
      <c r="S234" s="26"/>
      <c r="T234" s="26"/>
    </row>
    <row r="235" spans="1:20" s="29" customFormat="1" x14ac:dyDescent="0.25">
      <c r="A235" s="25" t="s">
        <v>18</v>
      </c>
      <c r="B235" s="46" t="s">
        <v>102</v>
      </c>
      <c r="C235" s="27"/>
      <c r="D235" s="27"/>
      <c r="E235" s="27"/>
      <c r="F235" s="52">
        <v>3058</v>
      </c>
      <c r="G235" s="26"/>
      <c r="H235" s="26"/>
      <c r="I235" s="52">
        <v>3058</v>
      </c>
      <c r="J235" s="26"/>
      <c r="K235" s="26"/>
      <c r="L235" s="26"/>
      <c r="M235" s="26"/>
      <c r="N235" s="26"/>
      <c r="O235" s="26"/>
      <c r="P235" s="26"/>
      <c r="Q235" s="26"/>
      <c r="R235" s="26"/>
      <c r="S235" s="26"/>
      <c r="T235" s="26"/>
    </row>
    <row r="236" spans="1:20" s="39" customFormat="1" x14ac:dyDescent="0.25">
      <c r="A236" s="11" t="s">
        <v>9</v>
      </c>
      <c r="B236" s="12" t="s">
        <v>104</v>
      </c>
      <c r="C236" s="13">
        <v>350398.919979</v>
      </c>
      <c r="D236" s="13">
        <v>258243.55382999999</v>
      </c>
      <c r="E236" s="13">
        <v>92155.366148999994</v>
      </c>
      <c r="F236" s="14">
        <f>F237+F269</f>
        <v>340732</v>
      </c>
      <c r="G236" s="14">
        <f>G237+G269</f>
        <v>5037</v>
      </c>
      <c r="H236" s="14">
        <f>H237+H269</f>
        <v>0</v>
      </c>
      <c r="I236" s="14">
        <f>I237+I269</f>
        <v>335695</v>
      </c>
      <c r="J236" s="14">
        <f>F236-C236</f>
        <v>-9666.9199789999984</v>
      </c>
      <c r="K236" s="14">
        <f>G236</f>
        <v>5037</v>
      </c>
      <c r="L236" s="14">
        <f>H236-D236</f>
        <v>-258243.55382999999</v>
      </c>
      <c r="M236" s="14">
        <f>I236-E236</f>
        <v>243539.63385099999</v>
      </c>
      <c r="N236" s="49"/>
      <c r="O236" s="49"/>
      <c r="P236" s="49"/>
      <c r="Q236" s="49"/>
      <c r="R236" s="49"/>
      <c r="S236" s="49"/>
      <c r="T236" s="49"/>
    </row>
    <row r="237" spans="1:20" s="2" customFormat="1" x14ac:dyDescent="0.25">
      <c r="A237" s="17">
        <v>1</v>
      </c>
      <c r="B237" s="18" t="s">
        <v>34</v>
      </c>
      <c r="C237" s="19"/>
      <c r="D237" s="19"/>
      <c r="E237" s="19"/>
      <c r="F237" s="47">
        <f>F238</f>
        <v>5037</v>
      </c>
      <c r="G237" s="47">
        <f>G238</f>
        <v>5037</v>
      </c>
      <c r="H237" s="47">
        <f>H238</f>
        <v>0</v>
      </c>
      <c r="I237" s="47">
        <f>I238</f>
        <v>0</v>
      </c>
      <c r="J237" s="18"/>
      <c r="K237" s="18"/>
      <c r="L237" s="18"/>
      <c r="M237" s="18"/>
      <c r="N237" s="18"/>
      <c r="O237" s="18"/>
      <c r="P237" s="18"/>
      <c r="Q237" s="18"/>
      <c r="R237" s="18"/>
      <c r="S237" s="18"/>
      <c r="T237" s="18"/>
    </row>
    <row r="238" spans="1:20" x14ac:dyDescent="0.25">
      <c r="A238" s="21" t="s">
        <v>12</v>
      </c>
      <c r="B238" s="22" t="s">
        <v>36</v>
      </c>
      <c r="C238" s="23"/>
      <c r="D238" s="23"/>
      <c r="E238" s="23"/>
      <c r="F238" s="36">
        <f>G238</f>
        <v>5037</v>
      </c>
      <c r="G238" s="36">
        <f>2412+2625</f>
        <v>5037</v>
      </c>
      <c r="H238" s="22"/>
      <c r="I238" s="22"/>
      <c r="J238" s="22"/>
      <c r="K238" s="22"/>
      <c r="L238" s="22"/>
      <c r="M238" s="22"/>
      <c r="N238" s="22"/>
      <c r="O238" s="22"/>
      <c r="P238" s="22"/>
      <c r="Q238" s="22"/>
      <c r="R238" s="22"/>
      <c r="S238" s="22"/>
      <c r="T238" s="22"/>
    </row>
    <row r="239" spans="1:20" s="29" customFormat="1" x14ac:dyDescent="0.25">
      <c r="A239" s="25"/>
      <c r="B239" s="26" t="s">
        <v>37</v>
      </c>
      <c r="C239" s="27"/>
      <c r="D239" s="27"/>
      <c r="E239" s="27"/>
      <c r="F239" s="26"/>
      <c r="G239" s="26"/>
      <c r="H239" s="26"/>
      <c r="I239" s="26"/>
      <c r="J239" s="26"/>
      <c r="K239" s="26"/>
      <c r="L239" s="26"/>
      <c r="M239" s="26"/>
      <c r="N239" s="26"/>
      <c r="O239" s="26"/>
      <c r="P239" s="26"/>
      <c r="Q239" s="26"/>
      <c r="R239" s="26"/>
      <c r="S239" s="26"/>
      <c r="T239" s="28"/>
    </row>
    <row r="240" spans="1:20" s="29" customFormat="1" x14ac:dyDescent="0.25">
      <c r="A240" s="25"/>
      <c r="B240" s="26" t="s">
        <v>37</v>
      </c>
      <c r="C240" s="27"/>
      <c r="D240" s="27"/>
      <c r="E240" s="27"/>
      <c r="F240" s="26"/>
      <c r="G240" s="26"/>
      <c r="H240" s="26"/>
      <c r="I240" s="26"/>
      <c r="J240" s="26"/>
      <c r="K240" s="26"/>
      <c r="L240" s="26"/>
      <c r="M240" s="26"/>
      <c r="N240" s="26"/>
      <c r="O240" s="26"/>
      <c r="P240" s="26"/>
      <c r="Q240" s="26"/>
      <c r="R240" s="26"/>
      <c r="S240" s="26"/>
      <c r="T240" s="28"/>
    </row>
    <row r="241" spans="1:20" s="29" customFormat="1" x14ac:dyDescent="0.25">
      <c r="A241" s="25"/>
      <c r="B241" s="26" t="s">
        <v>37</v>
      </c>
      <c r="C241" s="27"/>
      <c r="D241" s="27"/>
      <c r="E241" s="27"/>
      <c r="F241" s="26"/>
      <c r="G241" s="26"/>
      <c r="H241" s="26"/>
      <c r="I241" s="26"/>
      <c r="J241" s="26"/>
      <c r="K241" s="26"/>
      <c r="L241" s="26"/>
      <c r="M241" s="26"/>
      <c r="N241" s="26"/>
      <c r="O241" s="26"/>
      <c r="P241" s="26"/>
      <c r="Q241" s="26"/>
      <c r="R241" s="26"/>
      <c r="S241" s="26"/>
      <c r="T241" s="28"/>
    </row>
    <row r="242" spans="1:20" s="29" customFormat="1" x14ac:dyDescent="0.25">
      <c r="A242" s="25"/>
      <c r="B242" s="26" t="s">
        <v>37</v>
      </c>
      <c r="C242" s="27"/>
      <c r="D242" s="27"/>
      <c r="E242" s="27"/>
      <c r="F242" s="26"/>
      <c r="G242" s="26"/>
      <c r="H242" s="26"/>
      <c r="I242" s="26"/>
      <c r="J242" s="26"/>
      <c r="K242" s="26"/>
      <c r="L242" s="26"/>
      <c r="M242" s="26"/>
      <c r="N242" s="26"/>
      <c r="O242" s="26"/>
      <c r="P242" s="26"/>
      <c r="Q242" s="26"/>
      <c r="R242" s="26"/>
      <c r="S242" s="26"/>
      <c r="T242" s="28"/>
    </row>
    <row r="243" spans="1:20" x14ac:dyDescent="0.25">
      <c r="A243" s="21" t="s">
        <v>14</v>
      </c>
      <c r="B243" s="22" t="s">
        <v>68</v>
      </c>
      <c r="C243" s="23"/>
      <c r="D243" s="23"/>
      <c r="E243" s="23"/>
      <c r="F243" s="22"/>
      <c r="G243" s="22"/>
      <c r="H243" s="22"/>
      <c r="I243" s="22"/>
      <c r="J243" s="22"/>
      <c r="K243" s="22"/>
      <c r="L243" s="22"/>
      <c r="M243" s="22"/>
      <c r="N243" s="22"/>
      <c r="O243" s="22"/>
      <c r="P243" s="22"/>
      <c r="Q243" s="22"/>
      <c r="R243" s="22"/>
      <c r="S243" s="22"/>
      <c r="T243" s="22"/>
    </row>
    <row r="244" spans="1:20" s="29" customFormat="1" x14ac:dyDescent="0.25">
      <c r="A244" s="25"/>
      <c r="B244" s="46" t="s">
        <v>105</v>
      </c>
      <c r="C244" s="27"/>
      <c r="D244" s="27"/>
      <c r="E244" s="27"/>
      <c r="F244" s="26"/>
      <c r="G244" s="26"/>
      <c r="H244" s="26"/>
      <c r="I244" s="26"/>
      <c r="J244" s="26"/>
      <c r="K244" s="26"/>
      <c r="L244" s="26"/>
      <c r="M244" s="26"/>
      <c r="N244" s="26"/>
      <c r="O244" s="26"/>
      <c r="P244" s="26"/>
      <c r="Q244" s="26"/>
      <c r="R244" s="26"/>
      <c r="S244" s="26"/>
      <c r="T244" s="28"/>
    </row>
    <row r="245" spans="1:20" s="29" customFormat="1" x14ac:dyDescent="0.25">
      <c r="A245" s="25"/>
      <c r="B245" s="46" t="s">
        <v>106</v>
      </c>
      <c r="C245" s="27"/>
      <c r="D245" s="27"/>
      <c r="E245" s="27"/>
      <c r="F245" s="26"/>
      <c r="G245" s="26"/>
      <c r="H245" s="26"/>
      <c r="I245" s="26"/>
      <c r="J245" s="26"/>
      <c r="K245" s="26"/>
      <c r="L245" s="26"/>
      <c r="M245" s="26"/>
      <c r="N245" s="26"/>
      <c r="O245" s="26"/>
      <c r="P245" s="26"/>
      <c r="Q245" s="26"/>
      <c r="R245" s="26"/>
      <c r="S245" s="26"/>
      <c r="T245" s="28"/>
    </row>
    <row r="246" spans="1:20" s="29" customFormat="1" x14ac:dyDescent="0.25">
      <c r="A246" s="25"/>
      <c r="B246" s="46" t="s">
        <v>107</v>
      </c>
      <c r="C246" s="27"/>
      <c r="D246" s="27"/>
      <c r="E246" s="27"/>
      <c r="F246" s="26"/>
      <c r="G246" s="26"/>
      <c r="H246" s="26"/>
      <c r="I246" s="26"/>
      <c r="J246" s="26"/>
      <c r="K246" s="26"/>
      <c r="L246" s="26"/>
      <c r="M246" s="26"/>
      <c r="N246" s="26"/>
      <c r="O246" s="26"/>
      <c r="P246" s="26"/>
      <c r="Q246" s="26"/>
      <c r="R246" s="26"/>
      <c r="S246" s="26"/>
      <c r="T246" s="28"/>
    </row>
    <row r="247" spans="1:20" s="29" customFormat="1" x14ac:dyDescent="0.25">
      <c r="A247" s="25"/>
      <c r="B247" s="46" t="s">
        <v>108</v>
      </c>
      <c r="C247" s="27"/>
      <c r="D247" s="27"/>
      <c r="E247" s="27"/>
      <c r="F247" s="26"/>
      <c r="G247" s="26"/>
      <c r="H247" s="26"/>
      <c r="I247" s="26"/>
      <c r="J247" s="26"/>
      <c r="K247" s="26"/>
      <c r="L247" s="26"/>
      <c r="M247" s="26"/>
      <c r="N247" s="26"/>
      <c r="O247" s="26"/>
      <c r="P247" s="26"/>
      <c r="Q247" s="26"/>
      <c r="R247" s="26"/>
      <c r="S247" s="26"/>
      <c r="T247" s="28"/>
    </row>
    <row r="248" spans="1:20" s="29" customFormat="1" x14ac:dyDescent="0.25">
      <c r="A248" s="25"/>
      <c r="B248" s="46" t="s">
        <v>109</v>
      </c>
      <c r="C248" s="27"/>
      <c r="D248" s="27"/>
      <c r="E248" s="27"/>
      <c r="F248" s="26"/>
      <c r="G248" s="26"/>
      <c r="H248" s="26"/>
      <c r="I248" s="26"/>
      <c r="J248" s="26"/>
      <c r="K248" s="26"/>
      <c r="L248" s="26"/>
      <c r="M248" s="26"/>
      <c r="N248" s="26"/>
      <c r="O248" s="26"/>
      <c r="P248" s="26"/>
      <c r="Q248" s="26"/>
      <c r="R248" s="26"/>
      <c r="S248" s="26"/>
      <c r="T248" s="28"/>
    </row>
    <row r="249" spans="1:20" s="29" customFormat="1" x14ac:dyDescent="0.25">
      <c r="A249" s="25"/>
      <c r="B249" s="46" t="s">
        <v>110</v>
      </c>
      <c r="C249" s="27"/>
      <c r="D249" s="27"/>
      <c r="E249" s="27"/>
      <c r="F249" s="26"/>
      <c r="G249" s="26"/>
      <c r="H249" s="26"/>
      <c r="I249" s="26"/>
      <c r="J249" s="26"/>
      <c r="K249" s="26"/>
      <c r="L249" s="26"/>
      <c r="M249" s="26"/>
      <c r="N249" s="26"/>
      <c r="O249" s="26"/>
      <c r="P249" s="26"/>
      <c r="Q249" s="26"/>
      <c r="R249" s="26"/>
      <c r="S249" s="26"/>
      <c r="T249" s="28"/>
    </row>
    <row r="250" spans="1:20" s="29" customFormat="1" x14ac:dyDescent="0.25">
      <c r="A250" s="25"/>
      <c r="B250" s="46" t="s">
        <v>111</v>
      </c>
      <c r="C250" s="27"/>
      <c r="D250" s="27"/>
      <c r="E250" s="27"/>
      <c r="F250" s="26"/>
      <c r="G250" s="26"/>
      <c r="H250" s="26"/>
      <c r="I250" s="26"/>
      <c r="J250" s="26"/>
      <c r="K250" s="26"/>
      <c r="L250" s="26"/>
      <c r="M250" s="26"/>
      <c r="N250" s="26"/>
      <c r="O250" s="26"/>
      <c r="P250" s="26"/>
      <c r="Q250" s="26"/>
      <c r="R250" s="26"/>
      <c r="S250" s="26"/>
      <c r="T250" s="28"/>
    </row>
    <row r="251" spans="1:20" s="29" customFormat="1" x14ac:dyDescent="0.25">
      <c r="A251" s="25"/>
      <c r="B251" s="46" t="s">
        <v>112</v>
      </c>
      <c r="C251" s="27"/>
      <c r="D251" s="27"/>
      <c r="E251" s="27"/>
      <c r="F251" s="26"/>
      <c r="G251" s="26"/>
      <c r="H251" s="26"/>
      <c r="I251" s="26"/>
      <c r="J251" s="26"/>
      <c r="K251" s="26"/>
      <c r="L251" s="26"/>
      <c r="M251" s="26"/>
      <c r="N251" s="26"/>
      <c r="O251" s="26"/>
      <c r="P251" s="26"/>
      <c r="Q251" s="26"/>
      <c r="R251" s="26"/>
      <c r="S251" s="26"/>
      <c r="T251" s="28"/>
    </row>
    <row r="252" spans="1:20" x14ac:dyDescent="0.25">
      <c r="A252" s="21" t="s">
        <v>13</v>
      </c>
      <c r="B252" s="22" t="s">
        <v>43</v>
      </c>
      <c r="C252" s="23"/>
      <c r="D252" s="23"/>
      <c r="E252" s="23"/>
      <c r="F252" s="22"/>
      <c r="G252" s="22"/>
      <c r="H252" s="22"/>
      <c r="I252" s="22"/>
      <c r="J252" s="22"/>
      <c r="K252" s="22"/>
      <c r="L252" s="22"/>
      <c r="M252" s="22"/>
      <c r="N252" s="22"/>
      <c r="O252" s="22"/>
      <c r="P252" s="22"/>
      <c r="Q252" s="22"/>
      <c r="R252" s="22"/>
      <c r="S252" s="22"/>
      <c r="T252" s="22"/>
    </row>
    <row r="253" spans="1:20" s="29" customFormat="1" x14ac:dyDescent="0.25">
      <c r="A253" s="25"/>
      <c r="B253" s="26" t="s">
        <v>44</v>
      </c>
      <c r="C253" s="27"/>
      <c r="D253" s="27"/>
      <c r="E253" s="27"/>
      <c r="F253" s="26"/>
      <c r="G253" s="26"/>
      <c r="H253" s="26"/>
      <c r="I253" s="26"/>
      <c r="J253" s="26"/>
      <c r="K253" s="26"/>
      <c r="L253" s="26"/>
      <c r="M253" s="26"/>
      <c r="N253" s="26"/>
      <c r="O253" s="26"/>
      <c r="P253" s="26"/>
      <c r="Q253" s="26"/>
      <c r="R253" s="26"/>
      <c r="S253" s="26"/>
      <c r="T253" s="28"/>
    </row>
    <row r="254" spans="1:20" s="29" customFormat="1" x14ac:dyDescent="0.25">
      <c r="A254" s="25"/>
      <c r="B254" s="26" t="s">
        <v>44</v>
      </c>
      <c r="C254" s="27"/>
      <c r="D254" s="27"/>
      <c r="E254" s="27"/>
      <c r="F254" s="26"/>
      <c r="G254" s="26"/>
      <c r="H254" s="26"/>
      <c r="I254" s="26"/>
      <c r="J254" s="26"/>
      <c r="K254" s="26"/>
      <c r="L254" s="26"/>
      <c r="M254" s="26"/>
      <c r="N254" s="26"/>
      <c r="O254" s="26"/>
      <c r="P254" s="26"/>
      <c r="Q254" s="26"/>
      <c r="R254" s="26"/>
      <c r="S254" s="26"/>
      <c r="T254" s="28"/>
    </row>
    <row r="255" spans="1:20" s="29" customFormat="1" x14ac:dyDescent="0.25">
      <c r="A255" s="25"/>
      <c r="B255" s="26" t="s">
        <v>44</v>
      </c>
      <c r="C255" s="27"/>
      <c r="D255" s="27"/>
      <c r="E255" s="27"/>
      <c r="F255" s="26"/>
      <c r="G255" s="26"/>
      <c r="H255" s="26"/>
      <c r="I255" s="26"/>
      <c r="J255" s="26"/>
      <c r="K255" s="26"/>
      <c r="L255" s="26"/>
      <c r="M255" s="26"/>
      <c r="N255" s="26"/>
      <c r="O255" s="26"/>
      <c r="P255" s="26"/>
      <c r="Q255" s="26"/>
      <c r="R255" s="26"/>
      <c r="S255" s="26"/>
      <c r="T255" s="28"/>
    </row>
    <row r="256" spans="1:20" s="2" customFormat="1" x14ac:dyDescent="0.25">
      <c r="A256" s="17">
        <v>2</v>
      </c>
      <c r="B256" s="18" t="s">
        <v>45</v>
      </c>
      <c r="C256" s="19"/>
      <c r="D256" s="19"/>
      <c r="E256" s="19"/>
      <c r="F256" s="47">
        <f>F257+F266+F267</f>
        <v>-9667</v>
      </c>
      <c r="G256" s="47">
        <f>G257+G266+G267</f>
        <v>0</v>
      </c>
      <c r="H256" s="47">
        <f>H257+H266+H267</f>
        <v>0</v>
      </c>
      <c r="I256" s="47">
        <f>I257+I266+I267</f>
        <v>-9667</v>
      </c>
      <c r="J256" s="18"/>
      <c r="K256" s="18"/>
      <c r="L256" s="18"/>
      <c r="M256" s="18"/>
      <c r="N256" s="18"/>
      <c r="O256" s="18"/>
      <c r="P256" s="18"/>
      <c r="Q256" s="18"/>
      <c r="R256" s="18"/>
      <c r="S256" s="18"/>
      <c r="T256" s="18"/>
    </row>
    <row r="257" spans="1:20" x14ac:dyDescent="0.25">
      <c r="A257" s="21" t="s">
        <v>15</v>
      </c>
      <c r="B257" s="22" t="s">
        <v>68</v>
      </c>
      <c r="C257" s="23"/>
      <c r="D257" s="23"/>
      <c r="E257" s="23"/>
      <c r="F257" s="22"/>
      <c r="G257" s="22"/>
      <c r="H257" s="22"/>
      <c r="I257" s="22"/>
      <c r="J257" s="22"/>
      <c r="K257" s="22"/>
      <c r="L257" s="22"/>
      <c r="M257" s="22"/>
      <c r="N257" s="22"/>
      <c r="O257" s="22"/>
      <c r="P257" s="22"/>
      <c r="Q257" s="22"/>
      <c r="R257" s="22"/>
      <c r="S257" s="22"/>
      <c r="T257" s="22"/>
    </row>
    <row r="258" spans="1:20" s="29" customFormat="1" x14ac:dyDescent="0.25">
      <c r="A258" s="25"/>
      <c r="B258" s="46" t="s">
        <v>105</v>
      </c>
      <c r="C258" s="27"/>
      <c r="D258" s="27"/>
      <c r="E258" s="27"/>
      <c r="F258" s="26"/>
      <c r="G258" s="26"/>
      <c r="H258" s="26"/>
      <c r="I258" s="26"/>
      <c r="J258" s="26"/>
      <c r="K258" s="26"/>
      <c r="L258" s="26"/>
      <c r="M258" s="26"/>
      <c r="N258" s="26"/>
      <c r="O258" s="26"/>
      <c r="P258" s="26"/>
      <c r="Q258" s="26"/>
      <c r="R258" s="26"/>
      <c r="S258" s="26"/>
      <c r="T258" s="28"/>
    </row>
    <row r="259" spans="1:20" s="29" customFormat="1" x14ac:dyDescent="0.25">
      <c r="A259" s="25"/>
      <c r="B259" s="46" t="s">
        <v>106</v>
      </c>
      <c r="C259" s="27"/>
      <c r="D259" s="27"/>
      <c r="E259" s="27"/>
      <c r="F259" s="26"/>
      <c r="G259" s="26"/>
      <c r="H259" s="26"/>
      <c r="I259" s="26"/>
      <c r="J259" s="26"/>
      <c r="K259" s="26"/>
      <c r="L259" s="26"/>
      <c r="M259" s="26"/>
      <c r="N259" s="26"/>
      <c r="O259" s="26"/>
      <c r="P259" s="26"/>
      <c r="Q259" s="26"/>
      <c r="R259" s="26"/>
      <c r="S259" s="26"/>
      <c r="T259" s="28"/>
    </row>
    <row r="260" spans="1:20" s="29" customFormat="1" x14ac:dyDescent="0.25">
      <c r="A260" s="25"/>
      <c r="B260" s="46" t="s">
        <v>107</v>
      </c>
      <c r="C260" s="27"/>
      <c r="D260" s="27"/>
      <c r="E260" s="27"/>
      <c r="F260" s="26"/>
      <c r="G260" s="26"/>
      <c r="H260" s="26"/>
      <c r="I260" s="26"/>
      <c r="J260" s="26"/>
      <c r="K260" s="26"/>
      <c r="L260" s="26"/>
      <c r="M260" s="26"/>
      <c r="N260" s="26"/>
      <c r="O260" s="26"/>
      <c r="P260" s="26"/>
      <c r="Q260" s="26"/>
      <c r="R260" s="26"/>
      <c r="S260" s="26"/>
      <c r="T260" s="28"/>
    </row>
    <row r="261" spans="1:20" s="29" customFormat="1" x14ac:dyDescent="0.25">
      <c r="A261" s="25"/>
      <c r="B261" s="46" t="s">
        <v>108</v>
      </c>
      <c r="C261" s="27"/>
      <c r="D261" s="27"/>
      <c r="E261" s="27"/>
      <c r="F261" s="26"/>
      <c r="G261" s="26"/>
      <c r="H261" s="26"/>
      <c r="I261" s="26"/>
      <c r="J261" s="26"/>
      <c r="K261" s="26"/>
      <c r="L261" s="26"/>
      <c r="M261" s="26"/>
      <c r="N261" s="26"/>
      <c r="O261" s="26"/>
      <c r="P261" s="26"/>
      <c r="Q261" s="26"/>
      <c r="R261" s="26"/>
      <c r="S261" s="26"/>
      <c r="T261" s="28"/>
    </row>
    <row r="262" spans="1:20" s="29" customFormat="1" x14ac:dyDescent="0.25">
      <c r="A262" s="25"/>
      <c r="B262" s="46" t="s">
        <v>109</v>
      </c>
      <c r="C262" s="27"/>
      <c r="D262" s="27"/>
      <c r="E262" s="27"/>
      <c r="F262" s="26"/>
      <c r="G262" s="26"/>
      <c r="H262" s="26"/>
      <c r="I262" s="26"/>
      <c r="J262" s="26"/>
      <c r="K262" s="26"/>
      <c r="L262" s="26"/>
      <c r="M262" s="26"/>
      <c r="N262" s="26"/>
      <c r="O262" s="26"/>
      <c r="P262" s="26"/>
      <c r="Q262" s="26"/>
      <c r="R262" s="26"/>
      <c r="S262" s="26"/>
      <c r="T262" s="28"/>
    </row>
    <row r="263" spans="1:20" s="29" customFormat="1" x14ac:dyDescent="0.25">
      <c r="A263" s="25"/>
      <c r="B263" s="46" t="s">
        <v>110</v>
      </c>
      <c r="C263" s="27"/>
      <c r="D263" s="27"/>
      <c r="E263" s="27"/>
      <c r="F263" s="26"/>
      <c r="G263" s="26"/>
      <c r="H263" s="26"/>
      <c r="I263" s="26"/>
      <c r="J263" s="26"/>
      <c r="K263" s="26"/>
      <c r="L263" s="26"/>
      <c r="M263" s="26"/>
      <c r="N263" s="26"/>
      <c r="O263" s="26"/>
      <c r="P263" s="26"/>
      <c r="Q263" s="26"/>
      <c r="R263" s="26"/>
      <c r="S263" s="26"/>
      <c r="T263" s="28"/>
    </row>
    <row r="264" spans="1:20" s="29" customFormat="1" x14ac:dyDescent="0.25">
      <c r="A264" s="25"/>
      <c r="B264" s="46" t="s">
        <v>111</v>
      </c>
      <c r="C264" s="27"/>
      <c r="D264" s="27"/>
      <c r="E264" s="27"/>
      <c r="F264" s="26"/>
      <c r="G264" s="26"/>
      <c r="H264" s="26"/>
      <c r="I264" s="26"/>
      <c r="J264" s="26"/>
      <c r="K264" s="26"/>
      <c r="L264" s="26"/>
      <c r="M264" s="26"/>
      <c r="N264" s="26"/>
      <c r="O264" s="26"/>
      <c r="P264" s="26"/>
      <c r="Q264" s="26"/>
      <c r="R264" s="26"/>
      <c r="S264" s="26"/>
      <c r="T264" s="28"/>
    </row>
    <row r="265" spans="1:20" s="29" customFormat="1" x14ac:dyDescent="0.25">
      <c r="A265" s="25"/>
      <c r="B265" s="46" t="s">
        <v>112</v>
      </c>
      <c r="C265" s="27"/>
      <c r="D265" s="27"/>
      <c r="E265" s="27"/>
      <c r="F265" s="26"/>
      <c r="G265" s="26"/>
      <c r="H265" s="26"/>
      <c r="I265" s="26"/>
      <c r="J265" s="26"/>
      <c r="K265" s="26"/>
      <c r="L265" s="26"/>
      <c r="M265" s="26"/>
      <c r="N265" s="26"/>
      <c r="O265" s="26"/>
      <c r="P265" s="26"/>
      <c r="Q265" s="26"/>
      <c r="R265" s="26"/>
      <c r="S265" s="26"/>
      <c r="T265" s="28"/>
    </row>
    <row r="266" spans="1:20" ht="37.5" x14ac:dyDescent="0.25">
      <c r="A266" s="21" t="s">
        <v>16</v>
      </c>
      <c r="B266" s="32" t="s">
        <v>74</v>
      </c>
      <c r="C266" s="23"/>
      <c r="D266" s="23"/>
      <c r="E266" s="23"/>
      <c r="F266" s="22"/>
      <c r="G266" s="22"/>
      <c r="H266" s="22"/>
      <c r="I266" s="22"/>
      <c r="J266" s="22"/>
      <c r="K266" s="22"/>
      <c r="L266" s="22"/>
      <c r="M266" s="22"/>
      <c r="N266" s="22"/>
      <c r="O266" s="22"/>
      <c r="P266" s="22"/>
      <c r="Q266" s="22"/>
      <c r="R266" s="22"/>
      <c r="S266" s="22"/>
      <c r="T266" s="22"/>
    </row>
    <row r="267" spans="1:20" x14ac:dyDescent="0.25">
      <c r="A267" s="21" t="s">
        <v>48</v>
      </c>
      <c r="B267" s="22" t="s">
        <v>49</v>
      </c>
      <c r="C267" s="23"/>
      <c r="D267" s="23"/>
      <c r="E267" s="23"/>
      <c r="F267" s="36">
        <f>F268</f>
        <v>-9667</v>
      </c>
      <c r="G267" s="36">
        <f>G268</f>
        <v>0</v>
      </c>
      <c r="H267" s="36">
        <f>H268</f>
        <v>0</v>
      </c>
      <c r="I267" s="36">
        <f>I268</f>
        <v>-9667</v>
      </c>
      <c r="J267" s="22"/>
      <c r="K267" s="22"/>
      <c r="L267" s="22"/>
      <c r="M267" s="22"/>
      <c r="N267" s="22"/>
      <c r="O267" s="22"/>
      <c r="P267" s="22"/>
      <c r="Q267" s="22"/>
      <c r="R267" s="22"/>
      <c r="S267" s="22"/>
      <c r="T267" s="22"/>
    </row>
    <row r="268" spans="1:20" ht="56.25" x14ac:dyDescent="0.25">
      <c r="A268" s="21"/>
      <c r="B268" s="34" t="s">
        <v>82</v>
      </c>
      <c r="C268" s="23"/>
      <c r="D268" s="23"/>
      <c r="E268" s="23"/>
      <c r="F268" s="36">
        <v>-9667</v>
      </c>
      <c r="G268" s="22"/>
      <c r="H268" s="22"/>
      <c r="I268" s="36">
        <v>-9667</v>
      </c>
      <c r="J268" s="22"/>
      <c r="K268" s="22"/>
      <c r="L268" s="22"/>
      <c r="M268" s="22"/>
      <c r="N268" s="22"/>
      <c r="O268" s="22"/>
      <c r="P268" s="22"/>
      <c r="Q268" s="22"/>
      <c r="R268" s="22"/>
      <c r="S268" s="22"/>
      <c r="T268" s="22"/>
    </row>
    <row r="269" spans="1:20" x14ac:dyDescent="0.25">
      <c r="A269" s="17">
        <v>3</v>
      </c>
      <c r="B269" s="18" t="s">
        <v>51</v>
      </c>
      <c r="C269" s="23"/>
      <c r="D269" s="23"/>
      <c r="E269" s="23"/>
      <c r="F269" s="47">
        <f>SUM(F270:F277)</f>
        <v>335695</v>
      </c>
      <c r="G269" s="47">
        <f>SUM(G270:G277)</f>
        <v>0</v>
      </c>
      <c r="H269" s="47">
        <f>SUM(H270:H277)</f>
        <v>0</v>
      </c>
      <c r="I269" s="47">
        <f>SUM(I270:I277)</f>
        <v>335695</v>
      </c>
      <c r="J269" s="22"/>
      <c r="K269" s="22"/>
      <c r="L269" s="22"/>
      <c r="M269" s="22"/>
      <c r="N269" s="22"/>
      <c r="O269" s="22"/>
      <c r="P269" s="22"/>
      <c r="Q269" s="22"/>
      <c r="R269" s="22"/>
      <c r="S269" s="22"/>
      <c r="T269" s="22"/>
    </row>
    <row r="270" spans="1:20" s="29" customFormat="1" x14ac:dyDescent="0.25">
      <c r="A270" s="25" t="s">
        <v>17</v>
      </c>
      <c r="B270" s="46" t="s">
        <v>105</v>
      </c>
      <c r="C270" s="27"/>
      <c r="D270" s="27"/>
      <c r="E270" s="27"/>
      <c r="F270" s="52">
        <v>21272</v>
      </c>
      <c r="G270" s="26"/>
      <c r="H270" s="26"/>
      <c r="I270" s="52">
        <v>21272</v>
      </c>
      <c r="J270" s="26"/>
      <c r="K270" s="26"/>
      <c r="L270" s="26"/>
      <c r="M270" s="26"/>
      <c r="N270" s="26"/>
      <c r="O270" s="26"/>
      <c r="P270" s="26"/>
      <c r="Q270" s="26"/>
      <c r="R270" s="26"/>
      <c r="S270" s="26"/>
      <c r="T270" s="26"/>
    </row>
    <row r="271" spans="1:20" s="29" customFormat="1" x14ac:dyDescent="0.25">
      <c r="A271" s="25" t="s">
        <v>18</v>
      </c>
      <c r="B271" s="46" t="s">
        <v>106</v>
      </c>
      <c r="C271" s="27"/>
      <c r="D271" s="27"/>
      <c r="E271" s="27"/>
      <c r="F271" s="52">
        <v>12807</v>
      </c>
      <c r="G271" s="26"/>
      <c r="H271" s="26"/>
      <c r="I271" s="52">
        <v>12807</v>
      </c>
      <c r="J271" s="26"/>
      <c r="K271" s="26"/>
      <c r="L271" s="26"/>
      <c r="M271" s="26"/>
      <c r="N271" s="26"/>
      <c r="O271" s="26"/>
      <c r="P271" s="26"/>
      <c r="Q271" s="26"/>
      <c r="R271" s="26"/>
      <c r="S271" s="26"/>
      <c r="T271" s="26"/>
    </row>
    <row r="272" spans="1:20" s="29" customFormat="1" x14ac:dyDescent="0.25">
      <c r="A272" s="25" t="s">
        <v>53</v>
      </c>
      <c r="B272" s="46" t="s">
        <v>107</v>
      </c>
      <c r="C272" s="27"/>
      <c r="D272" s="27"/>
      <c r="E272" s="27"/>
      <c r="F272" s="52">
        <v>205336</v>
      </c>
      <c r="G272" s="26"/>
      <c r="H272" s="26"/>
      <c r="I272" s="52">
        <v>205336</v>
      </c>
      <c r="J272" s="26"/>
      <c r="K272" s="26"/>
      <c r="L272" s="26"/>
      <c r="M272" s="26"/>
      <c r="N272" s="26"/>
      <c r="O272" s="26"/>
      <c r="P272" s="26"/>
      <c r="Q272" s="26"/>
      <c r="R272" s="26"/>
      <c r="S272" s="26"/>
      <c r="T272" s="26"/>
    </row>
    <row r="273" spans="1:21" s="29" customFormat="1" x14ac:dyDescent="0.25">
      <c r="A273" s="25" t="s">
        <v>54</v>
      </c>
      <c r="B273" s="46" t="s">
        <v>108</v>
      </c>
      <c r="C273" s="27"/>
      <c r="D273" s="27"/>
      <c r="E273" s="27"/>
      <c r="F273" s="52">
        <v>14445</v>
      </c>
      <c r="G273" s="26"/>
      <c r="H273" s="26"/>
      <c r="I273" s="52">
        <v>14445</v>
      </c>
      <c r="J273" s="26"/>
      <c r="K273" s="26"/>
      <c r="L273" s="26"/>
      <c r="M273" s="26"/>
      <c r="N273" s="26"/>
      <c r="O273" s="26"/>
      <c r="P273" s="26"/>
      <c r="Q273" s="26"/>
      <c r="R273" s="26"/>
      <c r="S273" s="26"/>
      <c r="T273" s="26"/>
    </row>
    <row r="274" spans="1:21" s="29" customFormat="1" x14ac:dyDescent="0.25">
      <c r="A274" s="25" t="s">
        <v>64</v>
      </c>
      <c r="B274" s="46" t="s">
        <v>109</v>
      </c>
      <c r="C274" s="27"/>
      <c r="D274" s="27"/>
      <c r="E274" s="27"/>
      <c r="F274" s="52">
        <v>27901</v>
      </c>
      <c r="G274" s="26"/>
      <c r="H274" s="26"/>
      <c r="I274" s="52">
        <v>27901</v>
      </c>
      <c r="J274" s="26"/>
      <c r="K274" s="26"/>
      <c r="L274" s="26"/>
      <c r="M274" s="26"/>
      <c r="N274" s="26"/>
      <c r="O274" s="26"/>
      <c r="P274" s="26"/>
      <c r="Q274" s="26"/>
      <c r="R274" s="26"/>
      <c r="S274" s="26"/>
      <c r="T274" s="26"/>
    </row>
    <row r="275" spans="1:21" s="29" customFormat="1" x14ac:dyDescent="0.25">
      <c r="A275" s="25" t="s">
        <v>65</v>
      </c>
      <c r="B275" s="46" t="s">
        <v>110</v>
      </c>
      <c r="C275" s="27"/>
      <c r="D275" s="27"/>
      <c r="E275" s="27"/>
      <c r="F275" s="52">
        <v>29485</v>
      </c>
      <c r="G275" s="26"/>
      <c r="H275" s="26"/>
      <c r="I275" s="52">
        <v>29485</v>
      </c>
      <c r="J275" s="26"/>
      <c r="K275" s="26"/>
      <c r="L275" s="26"/>
      <c r="M275" s="26"/>
      <c r="N275" s="26"/>
      <c r="O275" s="26"/>
      <c r="P275" s="26"/>
      <c r="Q275" s="26"/>
      <c r="R275" s="26"/>
      <c r="S275" s="26"/>
      <c r="T275" s="26"/>
    </row>
    <row r="276" spans="1:21" s="29" customFormat="1" x14ac:dyDescent="0.25">
      <c r="A276" s="25" t="s">
        <v>91</v>
      </c>
      <c r="B276" s="46" t="s">
        <v>111</v>
      </c>
      <c r="C276" s="27"/>
      <c r="D276" s="27"/>
      <c r="E276" s="27"/>
      <c r="F276" s="52">
        <v>15981</v>
      </c>
      <c r="G276" s="26"/>
      <c r="H276" s="26"/>
      <c r="I276" s="52">
        <v>15981</v>
      </c>
      <c r="J276" s="26"/>
      <c r="K276" s="26"/>
      <c r="L276" s="26"/>
      <c r="M276" s="26"/>
      <c r="N276" s="26"/>
      <c r="O276" s="26"/>
      <c r="P276" s="26"/>
      <c r="Q276" s="26"/>
      <c r="R276" s="26"/>
      <c r="S276" s="26"/>
      <c r="T276" s="26"/>
    </row>
    <row r="277" spans="1:21" s="29" customFormat="1" x14ac:dyDescent="0.25">
      <c r="A277" s="25" t="s">
        <v>113</v>
      </c>
      <c r="B277" s="46" t="s">
        <v>112</v>
      </c>
      <c r="C277" s="27"/>
      <c r="D277" s="27"/>
      <c r="E277" s="27"/>
      <c r="F277" s="52">
        <v>8468</v>
      </c>
      <c r="G277" s="52"/>
      <c r="H277" s="52"/>
      <c r="I277" s="52">
        <v>8468</v>
      </c>
      <c r="J277" s="26"/>
      <c r="K277" s="26"/>
      <c r="L277" s="26"/>
      <c r="M277" s="26"/>
      <c r="N277" s="26"/>
      <c r="O277" s="26"/>
      <c r="P277" s="26"/>
      <c r="Q277" s="26"/>
      <c r="R277" s="26"/>
      <c r="S277" s="26"/>
      <c r="T277" s="26"/>
    </row>
    <row r="278" spans="1:21" s="66" customFormat="1" ht="30" x14ac:dyDescent="0.25">
      <c r="A278" s="59" t="s">
        <v>114</v>
      </c>
      <c r="B278" s="60" t="s">
        <v>115</v>
      </c>
      <c r="C278" s="61">
        <v>205874.510171</v>
      </c>
      <c r="D278" s="61">
        <v>178705.220287</v>
      </c>
      <c r="E278" s="61">
        <v>27169.289884000002</v>
      </c>
      <c r="F278" s="63">
        <f>F279+F294</f>
        <v>205874.51017099997</v>
      </c>
      <c r="G278" s="63">
        <f t="shared" ref="G278:S278" si="17">G279+G294</f>
        <v>0</v>
      </c>
      <c r="H278" s="63">
        <f t="shared" si="17"/>
        <v>0</v>
      </c>
      <c r="I278" s="63">
        <f t="shared" si="17"/>
        <v>205874.51017099997</v>
      </c>
      <c r="J278" s="63">
        <f t="shared" si="17"/>
        <v>0</v>
      </c>
      <c r="K278" s="63">
        <f t="shared" si="17"/>
        <v>0</v>
      </c>
      <c r="L278" s="63">
        <f t="shared" si="17"/>
        <v>0</v>
      </c>
      <c r="M278" s="63">
        <f t="shared" si="17"/>
        <v>0</v>
      </c>
      <c r="N278" s="63">
        <f t="shared" si="17"/>
        <v>-0.4898290000292036</v>
      </c>
      <c r="O278" s="63">
        <f t="shared" si="17"/>
        <v>0</v>
      </c>
      <c r="P278" s="63">
        <f t="shared" si="17"/>
        <v>-0.4898290000292036</v>
      </c>
      <c r="Q278" s="63">
        <f t="shared" si="17"/>
        <v>205874.02034199992</v>
      </c>
      <c r="R278" s="63">
        <f t="shared" si="17"/>
        <v>0</v>
      </c>
      <c r="S278" s="63">
        <f t="shared" si="17"/>
        <v>205874.02034199992</v>
      </c>
      <c r="T278" s="68" t="s">
        <v>35</v>
      </c>
      <c r="U278" s="66" t="s">
        <v>121</v>
      </c>
    </row>
    <row r="279" spans="1:21" s="2" customFormat="1" x14ac:dyDescent="0.25">
      <c r="A279" s="17">
        <v>1</v>
      </c>
      <c r="B279" s="18" t="s">
        <v>34</v>
      </c>
      <c r="C279" s="19"/>
      <c r="D279" s="19"/>
      <c r="E279" s="19"/>
      <c r="F279" s="47">
        <f>F285</f>
        <v>178705.22028699997</v>
      </c>
      <c r="G279" s="18"/>
      <c r="H279" s="18"/>
      <c r="I279" s="47">
        <f>I285</f>
        <v>178705.22028699997</v>
      </c>
      <c r="J279" s="47">
        <f t="shared" ref="J279:S279" si="18">J285</f>
        <v>0</v>
      </c>
      <c r="K279" s="47">
        <f t="shared" si="18"/>
        <v>0</v>
      </c>
      <c r="L279" s="47">
        <f t="shared" si="18"/>
        <v>0</v>
      </c>
      <c r="M279" s="47">
        <f t="shared" si="18"/>
        <v>0</v>
      </c>
      <c r="N279" s="47">
        <f t="shared" si="18"/>
        <v>-0.4898290000292036</v>
      </c>
      <c r="O279" s="47">
        <f t="shared" si="18"/>
        <v>0</v>
      </c>
      <c r="P279" s="47">
        <f t="shared" si="18"/>
        <v>-0.4898290000292036</v>
      </c>
      <c r="Q279" s="47">
        <f t="shared" si="18"/>
        <v>178704.73045799992</v>
      </c>
      <c r="R279" s="47">
        <f t="shared" si="18"/>
        <v>0</v>
      </c>
      <c r="S279" s="47">
        <f t="shared" si="18"/>
        <v>178704.73045799992</v>
      </c>
      <c r="T279" s="18"/>
    </row>
    <row r="280" spans="1:21" x14ac:dyDescent="0.25">
      <c r="A280" s="21" t="s">
        <v>12</v>
      </c>
      <c r="B280" s="22" t="s">
        <v>36</v>
      </c>
      <c r="C280" s="23"/>
      <c r="D280" s="23"/>
      <c r="E280" s="23"/>
      <c r="F280" s="22"/>
      <c r="G280" s="22"/>
      <c r="H280" s="22"/>
      <c r="I280" s="22"/>
      <c r="J280" s="22"/>
      <c r="K280" s="22"/>
      <c r="L280" s="22"/>
      <c r="M280" s="22"/>
      <c r="N280" s="22"/>
      <c r="O280" s="22"/>
      <c r="P280" s="22"/>
      <c r="Q280" s="22"/>
      <c r="R280" s="22"/>
      <c r="S280" s="22"/>
      <c r="T280" s="22"/>
    </row>
    <row r="281" spans="1:21" s="29" customFormat="1" x14ac:dyDescent="0.25">
      <c r="A281" s="25"/>
      <c r="B281" s="26" t="s">
        <v>37</v>
      </c>
      <c r="C281" s="27"/>
      <c r="D281" s="27"/>
      <c r="E281" s="27"/>
      <c r="F281" s="26"/>
      <c r="G281" s="26"/>
      <c r="H281" s="26"/>
      <c r="I281" s="26"/>
      <c r="J281" s="26"/>
      <c r="K281" s="26"/>
      <c r="L281" s="26"/>
      <c r="M281" s="26"/>
      <c r="N281" s="26"/>
      <c r="O281" s="26"/>
      <c r="P281" s="26"/>
      <c r="Q281" s="26"/>
      <c r="R281" s="26"/>
      <c r="S281" s="26"/>
      <c r="T281" s="28"/>
    </row>
    <row r="282" spans="1:21" s="29" customFormat="1" x14ac:dyDescent="0.25">
      <c r="A282" s="25"/>
      <c r="B282" s="26" t="s">
        <v>37</v>
      </c>
      <c r="C282" s="27"/>
      <c r="D282" s="27"/>
      <c r="E282" s="27"/>
      <c r="F282" s="26"/>
      <c r="G282" s="26"/>
      <c r="H282" s="26"/>
      <c r="I282" s="26"/>
      <c r="J282" s="26"/>
      <c r="K282" s="26"/>
      <c r="L282" s="26"/>
      <c r="M282" s="26"/>
      <c r="N282" s="26"/>
      <c r="O282" s="26"/>
      <c r="P282" s="26"/>
      <c r="Q282" s="26"/>
      <c r="R282" s="26"/>
      <c r="S282" s="26"/>
      <c r="T282" s="28"/>
    </row>
    <row r="283" spans="1:21" s="29" customFormat="1" x14ac:dyDescent="0.25">
      <c r="A283" s="25"/>
      <c r="B283" s="26" t="s">
        <v>37</v>
      </c>
      <c r="C283" s="27"/>
      <c r="D283" s="27"/>
      <c r="E283" s="27"/>
      <c r="F283" s="26"/>
      <c r="G283" s="26"/>
      <c r="H283" s="26"/>
      <c r="I283" s="26"/>
      <c r="J283" s="26"/>
      <c r="K283" s="26"/>
      <c r="L283" s="26"/>
      <c r="M283" s="26"/>
      <c r="N283" s="26"/>
      <c r="O283" s="26"/>
      <c r="P283" s="26"/>
      <c r="Q283" s="26"/>
      <c r="R283" s="26"/>
      <c r="S283" s="26"/>
      <c r="T283" s="28"/>
    </row>
    <row r="284" spans="1:21" s="29" customFormat="1" x14ac:dyDescent="0.25">
      <c r="A284" s="25"/>
      <c r="B284" s="26" t="s">
        <v>37</v>
      </c>
      <c r="C284" s="27"/>
      <c r="D284" s="27"/>
      <c r="E284" s="27"/>
      <c r="F284" s="26"/>
      <c r="G284" s="26"/>
      <c r="H284" s="26"/>
      <c r="I284" s="26"/>
      <c r="J284" s="26"/>
      <c r="K284" s="26"/>
      <c r="L284" s="26"/>
      <c r="M284" s="26"/>
      <c r="N284" s="26"/>
      <c r="O284" s="26"/>
      <c r="P284" s="26"/>
      <c r="Q284" s="26"/>
      <c r="R284" s="26"/>
      <c r="S284" s="26"/>
      <c r="T284" s="28"/>
    </row>
    <row r="285" spans="1:21" x14ac:dyDescent="0.25">
      <c r="A285" s="21" t="s">
        <v>14</v>
      </c>
      <c r="B285" s="22" t="s">
        <v>68</v>
      </c>
      <c r="C285" s="23"/>
      <c r="D285" s="23"/>
      <c r="E285" s="23"/>
      <c r="F285" s="69">
        <f>SUM(F286:F289)</f>
        <v>178705.22028699997</v>
      </c>
      <c r="G285" s="22"/>
      <c r="H285" s="22"/>
      <c r="I285" s="69">
        <f>SUM(I286:I289)</f>
        <v>178705.22028699997</v>
      </c>
      <c r="J285" s="69">
        <f t="shared" ref="J285:S285" si="19">SUM(J286:J289)</f>
        <v>0</v>
      </c>
      <c r="K285" s="69">
        <f t="shared" si="19"/>
        <v>0</v>
      </c>
      <c r="L285" s="69">
        <f t="shared" si="19"/>
        <v>0</v>
      </c>
      <c r="M285" s="69">
        <f t="shared" si="19"/>
        <v>0</v>
      </c>
      <c r="N285" s="69">
        <f t="shared" si="19"/>
        <v>-0.4898290000292036</v>
      </c>
      <c r="O285" s="69">
        <f t="shared" si="19"/>
        <v>0</v>
      </c>
      <c r="P285" s="69">
        <f t="shared" si="19"/>
        <v>-0.4898290000292036</v>
      </c>
      <c r="Q285" s="69">
        <f t="shared" si="19"/>
        <v>178704.73045799992</v>
      </c>
      <c r="R285" s="69">
        <f t="shared" si="19"/>
        <v>0</v>
      </c>
      <c r="S285" s="69">
        <f t="shared" si="19"/>
        <v>178704.73045799992</v>
      </c>
      <c r="T285" s="22"/>
    </row>
    <row r="286" spans="1:21" s="29" customFormat="1" x14ac:dyDescent="0.25">
      <c r="A286" s="25"/>
      <c r="B286" s="46" t="s">
        <v>116</v>
      </c>
      <c r="C286" s="27"/>
      <c r="D286" s="27"/>
      <c r="E286" s="27"/>
      <c r="F286" s="70">
        <v>10784.717177999999</v>
      </c>
      <c r="G286" s="26"/>
      <c r="H286" s="26"/>
      <c r="I286" s="70">
        <v>10784.717177999999</v>
      </c>
      <c r="J286" s="26"/>
      <c r="K286" s="26"/>
      <c r="L286" s="26"/>
      <c r="M286" s="26"/>
      <c r="N286" s="71">
        <v>67.154719999998633</v>
      </c>
      <c r="O286" s="71"/>
      <c r="P286" s="71">
        <v>67.154719999998633</v>
      </c>
      <c r="Q286" s="52">
        <f>R286+S286</f>
        <v>10851.871897999998</v>
      </c>
      <c r="R286" s="26"/>
      <c r="S286" s="52">
        <f>I286+P286</f>
        <v>10851.871897999998</v>
      </c>
      <c r="T286" s="28"/>
    </row>
    <row r="287" spans="1:21" s="29" customFormat="1" x14ac:dyDescent="0.25">
      <c r="A287" s="25"/>
      <c r="B287" s="46" t="s">
        <v>117</v>
      </c>
      <c r="C287" s="27"/>
      <c r="D287" s="27"/>
      <c r="E287" s="27"/>
      <c r="F287" s="70">
        <v>141841.35916999998</v>
      </c>
      <c r="G287" s="26"/>
      <c r="H287" s="26"/>
      <c r="I287" s="70">
        <v>141841.35916999998</v>
      </c>
      <c r="J287" s="26"/>
      <c r="K287" s="26"/>
      <c r="L287" s="26"/>
      <c r="M287" s="26"/>
      <c r="N287" s="71">
        <v>-322.1619720000308</v>
      </c>
      <c r="O287" s="71"/>
      <c r="P287" s="71">
        <v>-322.1619720000308</v>
      </c>
      <c r="Q287" s="52">
        <f>R287+S287</f>
        <v>141519.19719799995</v>
      </c>
      <c r="R287" s="26"/>
      <c r="S287" s="52">
        <f>I287+P287</f>
        <v>141519.19719799995</v>
      </c>
      <c r="T287" s="28"/>
    </row>
    <row r="288" spans="1:21" s="29" customFormat="1" x14ac:dyDescent="0.25">
      <c r="A288" s="25"/>
      <c r="B288" s="46" t="s">
        <v>118</v>
      </c>
      <c r="C288" s="27"/>
      <c r="D288" s="27"/>
      <c r="E288" s="27"/>
      <c r="F288" s="70">
        <v>1273.73767</v>
      </c>
      <c r="G288" s="26"/>
      <c r="H288" s="26"/>
      <c r="I288" s="70">
        <v>1273.73767</v>
      </c>
      <c r="J288" s="26"/>
      <c r="K288" s="26"/>
      <c r="L288" s="26"/>
      <c r="M288" s="26"/>
      <c r="N288" s="71">
        <v>256.03109600000062</v>
      </c>
      <c r="O288" s="71"/>
      <c r="P288" s="71">
        <v>256.03109600000062</v>
      </c>
      <c r="Q288" s="52">
        <f>R288+S288</f>
        <v>1529.7687660000006</v>
      </c>
      <c r="R288" s="26"/>
      <c r="S288" s="52">
        <f>I288+P288</f>
        <v>1529.7687660000006</v>
      </c>
      <c r="T288" s="28"/>
    </row>
    <row r="289" spans="1:20" s="29" customFormat="1" x14ac:dyDescent="0.25">
      <c r="A289" s="25"/>
      <c r="B289" s="26" t="s">
        <v>119</v>
      </c>
      <c r="C289" s="27"/>
      <c r="D289" s="27"/>
      <c r="E289" s="27"/>
      <c r="F289" s="70">
        <v>24805.406269000003</v>
      </c>
      <c r="G289" s="26"/>
      <c r="H289" s="26"/>
      <c r="I289" s="70">
        <v>24805.406269000003</v>
      </c>
      <c r="J289" s="26"/>
      <c r="K289" s="26"/>
      <c r="L289" s="26"/>
      <c r="M289" s="26"/>
      <c r="N289" s="71">
        <v>-1.5136729999976524</v>
      </c>
      <c r="O289" s="71"/>
      <c r="P289" s="71">
        <v>-1.5136729999976524</v>
      </c>
      <c r="Q289" s="52">
        <f>R289+S289</f>
        <v>24803.892596000005</v>
      </c>
      <c r="R289" s="26"/>
      <c r="S289" s="52">
        <f>I289+P289</f>
        <v>24803.892596000005</v>
      </c>
      <c r="T289" s="28"/>
    </row>
    <row r="290" spans="1:20" x14ac:dyDescent="0.25">
      <c r="A290" s="21" t="s">
        <v>13</v>
      </c>
      <c r="B290" s="22" t="s">
        <v>43</v>
      </c>
      <c r="C290" s="23"/>
      <c r="D290" s="23"/>
      <c r="E290" s="23"/>
      <c r="F290" s="22"/>
      <c r="G290" s="22"/>
      <c r="H290" s="22"/>
      <c r="I290" s="22"/>
      <c r="J290" s="22"/>
      <c r="K290" s="22"/>
      <c r="L290" s="22"/>
      <c r="M290" s="22"/>
      <c r="N290" s="22"/>
      <c r="O290" s="22"/>
      <c r="P290" s="22"/>
      <c r="Q290" s="22"/>
      <c r="R290" s="22"/>
      <c r="S290" s="22"/>
      <c r="T290" s="22"/>
    </row>
    <row r="291" spans="1:20" s="29" customFormat="1" x14ac:dyDescent="0.25">
      <c r="A291" s="25"/>
      <c r="B291" s="26" t="s">
        <v>44</v>
      </c>
      <c r="C291" s="27"/>
      <c r="D291" s="27"/>
      <c r="E291" s="27"/>
      <c r="F291" s="26"/>
      <c r="G291" s="26"/>
      <c r="H291" s="26"/>
      <c r="I291" s="26"/>
      <c r="J291" s="26"/>
      <c r="K291" s="26"/>
      <c r="L291" s="26"/>
      <c r="M291" s="26"/>
      <c r="N291" s="26"/>
      <c r="O291" s="26"/>
      <c r="P291" s="26"/>
      <c r="Q291" s="26"/>
      <c r="R291" s="26"/>
      <c r="S291" s="26"/>
      <c r="T291" s="28"/>
    </row>
    <row r="292" spans="1:20" s="29" customFormat="1" x14ac:dyDescent="0.25">
      <c r="A292" s="25"/>
      <c r="B292" s="26" t="s">
        <v>44</v>
      </c>
      <c r="C292" s="27"/>
      <c r="D292" s="27"/>
      <c r="E292" s="27"/>
      <c r="F292" s="26"/>
      <c r="G292" s="26"/>
      <c r="H292" s="26"/>
      <c r="I292" s="26"/>
      <c r="J292" s="26"/>
      <c r="K292" s="26"/>
      <c r="L292" s="26"/>
      <c r="M292" s="26"/>
      <c r="N292" s="26"/>
      <c r="O292" s="26"/>
      <c r="P292" s="26"/>
      <c r="Q292" s="26"/>
      <c r="R292" s="26"/>
      <c r="S292" s="26"/>
      <c r="T292" s="28"/>
    </row>
    <row r="293" spans="1:20" s="29" customFormat="1" x14ac:dyDescent="0.25">
      <c r="A293" s="25"/>
      <c r="B293" s="26" t="s">
        <v>44</v>
      </c>
      <c r="C293" s="27"/>
      <c r="D293" s="27"/>
      <c r="E293" s="27"/>
      <c r="F293" s="26"/>
      <c r="G293" s="26"/>
      <c r="H293" s="26"/>
      <c r="I293" s="26"/>
      <c r="J293" s="26"/>
      <c r="K293" s="26"/>
      <c r="L293" s="26"/>
      <c r="M293" s="26"/>
      <c r="N293" s="26"/>
      <c r="O293" s="26"/>
      <c r="P293" s="26"/>
      <c r="Q293" s="26"/>
      <c r="R293" s="26"/>
      <c r="S293" s="26"/>
      <c r="T293" s="28"/>
    </row>
    <row r="294" spans="1:20" s="2" customFormat="1" x14ac:dyDescent="0.25">
      <c r="A294" s="17">
        <v>2</v>
      </c>
      <c r="B294" s="18" t="s">
        <v>45</v>
      </c>
      <c r="C294" s="19"/>
      <c r="D294" s="19"/>
      <c r="E294" s="19"/>
      <c r="F294" s="72">
        <f>F295</f>
        <v>27169.289883999998</v>
      </c>
      <c r="G294" s="18"/>
      <c r="H294" s="18"/>
      <c r="I294" s="72">
        <f>I295</f>
        <v>27169.289883999998</v>
      </c>
      <c r="J294" s="18"/>
      <c r="K294" s="18"/>
      <c r="L294" s="18"/>
      <c r="M294" s="18"/>
      <c r="N294" s="18"/>
      <c r="O294" s="18"/>
      <c r="P294" s="18"/>
      <c r="Q294" s="72">
        <f>Q295</f>
        <v>27169.289883999998</v>
      </c>
      <c r="R294" s="18"/>
      <c r="S294" s="72">
        <f>S295</f>
        <v>27169.289883999998</v>
      </c>
      <c r="T294" s="18"/>
    </row>
    <row r="295" spans="1:20" x14ac:dyDescent="0.25">
      <c r="A295" s="21" t="s">
        <v>15</v>
      </c>
      <c r="B295" s="22" t="s">
        <v>68</v>
      </c>
      <c r="C295" s="23"/>
      <c r="D295" s="23"/>
      <c r="E295" s="23"/>
      <c r="F295" s="73">
        <f>SUM(F296:F299)</f>
        <v>27169.289883999998</v>
      </c>
      <c r="G295" s="22"/>
      <c r="H295" s="22"/>
      <c r="I295" s="73">
        <f>SUM(I296:I299)</f>
        <v>27169.289883999998</v>
      </c>
      <c r="J295" s="22"/>
      <c r="K295" s="22"/>
      <c r="L295" s="22"/>
      <c r="M295" s="22"/>
      <c r="N295" s="22"/>
      <c r="O295" s="22"/>
      <c r="P295" s="22"/>
      <c r="Q295" s="73">
        <f>SUM(Q296:Q299)</f>
        <v>27169.289883999998</v>
      </c>
      <c r="R295" s="22"/>
      <c r="S295" s="73">
        <f>SUM(S296:S299)</f>
        <v>27169.289883999998</v>
      </c>
      <c r="T295" s="22"/>
    </row>
    <row r="296" spans="1:20" s="29" customFormat="1" x14ac:dyDescent="0.25">
      <c r="A296" s="25"/>
      <c r="B296" s="46" t="s">
        <v>116</v>
      </c>
      <c r="C296" s="27"/>
      <c r="D296" s="27"/>
      <c r="E296" s="27"/>
      <c r="F296" s="70">
        <v>4053.4375420000001</v>
      </c>
      <c r="G296" s="26"/>
      <c r="H296" s="26"/>
      <c r="I296" s="70">
        <v>4053.4375420000001</v>
      </c>
      <c r="J296" s="26"/>
      <c r="K296" s="26"/>
      <c r="L296" s="26"/>
      <c r="M296" s="26"/>
      <c r="N296" s="26"/>
      <c r="O296" s="26"/>
      <c r="P296" s="26"/>
      <c r="Q296" s="70">
        <v>4053.4375420000001</v>
      </c>
      <c r="R296" s="26"/>
      <c r="S296" s="70">
        <v>4053.4375420000001</v>
      </c>
      <c r="T296" s="28"/>
    </row>
    <row r="297" spans="1:20" s="29" customFormat="1" x14ac:dyDescent="0.25">
      <c r="A297" s="25"/>
      <c r="B297" s="46" t="s">
        <v>117</v>
      </c>
      <c r="C297" s="27"/>
      <c r="D297" s="27"/>
      <c r="E297" s="27"/>
      <c r="F297" s="70">
        <v>6345.4788580000004</v>
      </c>
      <c r="G297" s="26"/>
      <c r="H297" s="26"/>
      <c r="I297" s="70">
        <v>6345.4788580000004</v>
      </c>
      <c r="J297" s="26"/>
      <c r="K297" s="26"/>
      <c r="L297" s="26"/>
      <c r="M297" s="26"/>
      <c r="N297" s="26"/>
      <c r="O297" s="26"/>
      <c r="P297" s="26"/>
      <c r="Q297" s="70">
        <v>6345.4788580000004</v>
      </c>
      <c r="R297" s="26"/>
      <c r="S297" s="70">
        <v>6345.4788580000004</v>
      </c>
      <c r="T297" s="28"/>
    </row>
    <row r="298" spans="1:20" s="29" customFormat="1" x14ac:dyDescent="0.25">
      <c r="A298" s="25"/>
      <c r="B298" s="46" t="s">
        <v>118</v>
      </c>
      <c r="C298" s="27"/>
      <c r="D298" s="27"/>
      <c r="E298" s="27"/>
      <c r="F298" s="70">
        <v>11678.293426</v>
      </c>
      <c r="G298" s="26"/>
      <c r="H298" s="26"/>
      <c r="I298" s="70">
        <v>11678.293426</v>
      </c>
      <c r="J298" s="26"/>
      <c r="K298" s="26"/>
      <c r="L298" s="26"/>
      <c r="M298" s="26"/>
      <c r="N298" s="26"/>
      <c r="O298" s="26"/>
      <c r="P298" s="26"/>
      <c r="Q298" s="70">
        <v>11678.293426</v>
      </c>
      <c r="R298" s="26"/>
      <c r="S298" s="70">
        <v>11678.293426</v>
      </c>
      <c r="T298" s="28"/>
    </row>
    <row r="299" spans="1:20" s="29" customFormat="1" x14ac:dyDescent="0.25">
      <c r="A299" s="25"/>
      <c r="B299" s="26" t="s">
        <v>119</v>
      </c>
      <c r="C299" s="27"/>
      <c r="D299" s="27"/>
      <c r="E299" s="27"/>
      <c r="F299" s="70">
        <v>5092.0800579999996</v>
      </c>
      <c r="G299" s="26"/>
      <c r="H299" s="26"/>
      <c r="I299" s="70">
        <v>5092.0800579999996</v>
      </c>
      <c r="J299" s="26"/>
      <c r="K299" s="26"/>
      <c r="L299" s="26"/>
      <c r="M299" s="26"/>
      <c r="N299" s="26"/>
      <c r="O299" s="26"/>
      <c r="P299" s="26"/>
      <c r="Q299" s="70">
        <v>5092.0800579999996</v>
      </c>
      <c r="R299" s="26"/>
      <c r="S299" s="70">
        <v>5092.0800579999996</v>
      </c>
      <c r="T299" s="28"/>
    </row>
    <row r="300" spans="1:20" ht="37.5" x14ac:dyDescent="0.25">
      <c r="A300" s="21" t="s">
        <v>16</v>
      </c>
      <c r="B300" s="32" t="s">
        <v>74</v>
      </c>
      <c r="C300" s="23"/>
      <c r="D300" s="23"/>
      <c r="E300" s="23"/>
      <c r="F300" s="22"/>
      <c r="G300" s="22"/>
      <c r="H300" s="22"/>
      <c r="I300" s="22"/>
      <c r="J300" s="22"/>
      <c r="K300" s="22"/>
      <c r="L300" s="22"/>
      <c r="M300" s="22"/>
      <c r="N300" s="22"/>
      <c r="O300" s="22"/>
      <c r="P300" s="22"/>
      <c r="Q300" s="22"/>
      <c r="R300" s="22"/>
      <c r="S300" s="22"/>
      <c r="T300" s="22"/>
    </row>
    <row r="301" spans="1:20" x14ac:dyDescent="0.25">
      <c r="A301" s="21" t="s">
        <v>48</v>
      </c>
      <c r="B301" s="22" t="s">
        <v>49</v>
      </c>
      <c r="C301" s="23"/>
      <c r="D301" s="23"/>
      <c r="E301" s="23"/>
      <c r="F301" s="22"/>
      <c r="G301" s="22"/>
      <c r="H301" s="22"/>
      <c r="I301" s="22"/>
      <c r="J301" s="22"/>
      <c r="K301" s="22"/>
      <c r="L301" s="22"/>
      <c r="M301" s="22"/>
      <c r="N301" s="22"/>
      <c r="O301" s="22"/>
      <c r="P301" s="22"/>
      <c r="Q301" s="22"/>
      <c r="R301" s="22"/>
      <c r="S301" s="22"/>
      <c r="T301" s="22"/>
    </row>
    <row r="302" spans="1:20" x14ac:dyDescent="0.25">
      <c r="A302" s="17">
        <v>3</v>
      </c>
      <c r="B302" s="18" t="s">
        <v>51</v>
      </c>
      <c r="C302" s="23"/>
      <c r="D302" s="23"/>
      <c r="E302" s="23"/>
      <c r="F302" s="47">
        <f>SUM(F303:F306)</f>
        <v>205875</v>
      </c>
      <c r="G302" s="22"/>
      <c r="H302" s="22"/>
      <c r="I302" s="47">
        <f>SUM(I303:I306)</f>
        <v>205875</v>
      </c>
      <c r="J302" s="47">
        <f t="shared" ref="J302:S302" si="20">SUM(J303:J306)</f>
        <v>0</v>
      </c>
      <c r="K302" s="47">
        <f t="shared" si="20"/>
        <v>0</v>
      </c>
      <c r="L302" s="47">
        <f t="shared" si="20"/>
        <v>0</v>
      </c>
      <c r="M302" s="47">
        <f t="shared" si="20"/>
        <v>0</v>
      </c>
      <c r="N302" s="47">
        <f t="shared" si="20"/>
        <v>0</v>
      </c>
      <c r="O302" s="47">
        <f t="shared" si="20"/>
        <v>0</v>
      </c>
      <c r="P302" s="47">
        <f t="shared" si="20"/>
        <v>0</v>
      </c>
      <c r="Q302" s="47">
        <f t="shared" si="20"/>
        <v>205874.02034199995</v>
      </c>
      <c r="R302" s="47">
        <f t="shared" si="20"/>
        <v>0</v>
      </c>
      <c r="S302" s="47">
        <f t="shared" si="20"/>
        <v>205874.02034199995</v>
      </c>
      <c r="T302" s="22"/>
    </row>
    <row r="303" spans="1:20" s="29" customFormat="1" x14ac:dyDescent="0.25">
      <c r="A303" s="25" t="s">
        <v>17</v>
      </c>
      <c r="B303" s="46" t="s">
        <v>116</v>
      </c>
      <c r="C303" s="27"/>
      <c r="D303" s="27"/>
      <c r="E303" s="27"/>
      <c r="F303" s="52">
        <v>14771</v>
      </c>
      <c r="G303" s="26"/>
      <c r="H303" s="26"/>
      <c r="I303" s="52">
        <v>14771</v>
      </c>
      <c r="J303" s="26"/>
      <c r="K303" s="26"/>
      <c r="L303" s="26"/>
      <c r="M303" s="26"/>
      <c r="N303" s="26"/>
      <c r="O303" s="26"/>
      <c r="P303" s="26"/>
      <c r="Q303" s="52">
        <f>Q296+Q286</f>
        <v>14905.309439999997</v>
      </c>
      <c r="R303" s="52"/>
      <c r="S303" s="52">
        <f>S296+S286</f>
        <v>14905.309439999997</v>
      </c>
      <c r="T303" s="26"/>
    </row>
    <row r="304" spans="1:20" s="29" customFormat="1" x14ac:dyDescent="0.25">
      <c r="A304" s="25" t="s">
        <v>18</v>
      </c>
      <c r="B304" s="46" t="s">
        <v>117</v>
      </c>
      <c r="C304" s="27"/>
      <c r="D304" s="27"/>
      <c r="E304" s="27"/>
      <c r="F304" s="52">
        <v>148509</v>
      </c>
      <c r="G304" s="26"/>
      <c r="H304" s="26"/>
      <c r="I304" s="52">
        <v>148509</v>
      </c>
      <c r="J304" s="26"/>
      <c r="K304" s="26"/>
      <c r="L304" s="26"/>
      <c r="M304" s="26"/>
      <c r="N304" s="26"/>
      <c r="O304" s="26"/>
      <c r="P304" s="26"/>
      <c r="Q304" s="52">
        <f t="shared" ref="Q304:S306" si="21">Q297+Q287</f>
        <v>147864.67605599994</v>
      </c>
      <c r="R304" s="52"/>
      <c r="S304" s="52">
        <f t="shared" si="21"/>
        <v>147864.67605599994</v>
      </c>
      <c r="T304" s="26"/>
    </row>
    <row r="305" spans="1:20" s="29" customFormat="1" x14ac:dyDescent="0.25">
      <c r="A305" s="25" t="s">
        <v>53</v>
      </c>
      <c r="B305" s="46" t="s">
        <v>118</v>
      </c>
      <c r="C305" s="27"/>
      <c r="D305" s="27"/>
      <c r="E305" s="27"/>
      <c r="F305" s="52">
        <v>12696</v>
      </c>
      <c r="G305" s="26"/>
      <c r="H305" s="26"/>
      <c r="I305" s="52">
        <v>12696</v>
      </c>
      <c r="J305" s="26"/>
      <c r="K305" s="26"/>
      <c r="L305" s="26"/>
      <c r="M305" s="26"/>
      <c r="N305" s="26"/>
      <c r="O305" s="26"/>
      <c r="P305" s="26"/>
      <c r="Q305" s="52">
        <f t="shared" si="21"/>
        <v>13208.062192000001</v>
      </c>
      <c r="R305" s="52"/>
      <c r="S305" s="52">
        <f t="shared" si="21"/>
        <v>13208.062192000001</v>
      </c>
      <c r="T305" s="26"/>
    </row>
    <row r="306" spans="1:20" s="58" customFormat="1" ht="19.5" x14ac:dyDescent="0.25">
      <c r="A306" s="53" t="s">
        <v>54</v>
      </c>
      <c r="B306" s="54" t="s">
        <v>119</v>
      </c>
      <c r="C306" s="55"/>
      <c r="D306" s="55"/>
      <c r="E306" s="55"/>
      <c r="F306" s="56">
        <v>29899</v>
      </c>
      <c r="G306" s="57"/>
      <c r="H306" s="57"/>
      <c r="I306" s="56">
        <v>29899</v>
      </c>
      <c r="J306" s="57"/>
      <c r="K306" s="57"/>
      <c r="L306" s="57"/>
      <c r="M306" s="57"/>
      <c r="N306" s="57"/>
      <c r="O306" s="57"/>
      <c r="P306" s="57"/>
      <c r="Q306" s="56">
        <f t="shared" si="21"/>
        <v>29895.972654000005</v>
      </c>
      <c r="R306" s="56"/>
      <c r="S306" s="56">
        <f t="shared" si="21"/>
        <v>29895.972654000005</v>
      </c>
      <c r="T306" s="57"/>
    </row>
  </sheetData>
  <mergeCells count="20">
    <mergeCell ref="A1:S1"/>
    <mergeCell ref="Q3:S3"/>
    <mergeCell ref="A4:A6"/>
    <mergeCell ref="B4:B6"/>
    <mergeCell ref="C4:E4"/>
    <mergeCell ref="F4:I4"/>
    <mergeCell ref="J4:M4"/>
    <mergeCell ref="N4:P4"/>
    <mergeCell ref="Q4:S4"/>
    <mergeCell ref="R5:S5"/>
    <mergeCell ref="T4:T6"/>
    <mergeCell ref="C5:C6"/>
    <mergeCell ref="D5:E5"/>
    <mergeCell ref="F5:F6"/>
    <mergeCell ref="G5:I5"/>
    <mergeCell ref="J5:J6"/>
    <mergeCell ref="K5:M5"/>
    <mergeCell ref="N5:N6"/>
    <mergeCell ref="O5:P5"/>
    <mergeCell ref="Q5:Q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50A41-CB90-466F-A557-B596B8D042F2}">
  <dimension ref="A1:F24"/>
  <sheetViews>
    <sheetView tabSelected="1" view="pageBreakPreview" topLeftCell="C4" zoomScale="106" zoomScaleNormal="100" zoomScaleSheetLayoutView="106" workbookViewId="0">
      <selection activeCell="D39" sqref="D39"/>
    </sheetView>
  </sheetViews>
  <sheetFormatPr defaultRowHeight="15.75" x14ac:dyDescent="0.25"/>
  <cols>
    <col min="1" max="1" width="5.875" customWidth="1"/>
    <col min="2" max="2" width="49.625" customWidth="1"/>
    <col min="3" max="4" width="11.25" customWidth="1"/>
    <col min="5" max="5" width="10.75" bestFit="1" customWidth="1"/>
    <col min="6" max="6" width="10.875" customWidth="1"/>
  </cols>
  <sheetData>
    <row r="1" spans="1:6" x14ac:dyDescent="0.25">
      <c r="D1" s="450" t="s">
        <v>390</v>
      </c>
      <c r="E1" s="450"/>
    </row>
    <row r="2" spans="1:6" ht="18.75" x14ac:dyDescent="0.3">
      <c r="A2" s="451" t="s">
        <v>433</v>
      </c>
      <c r="B2" s="451"/>
      <c r="C2" s="451"/>
      <c r="D2" s="451"/>
      <c r="E2" s="451"/>
    </row>
    <row r="3" spans="1:6" x14ac:dyDescent="0.25">
      <c r="A3" s="452" t="str">
        <f>+'Biểu Thu '!A5:E5</f>
        <v>(Kèm theo Nghị quyết số    /NQ- HĐND ngày     tháng 7 năm 2026 của HĐND xã Lùng Phình)</v>
      </c>
      <c r="B3" s="452"/>
      <c r="C3" s="452"/>
      <c r="D3" s="452"/>
      <c r="E3" s="452"/>
    </row>
    <row r="4" spans="1:6" x14ac:dyDescent="0.25">
      <c r="A4" s="94"/>
      <c r="B4" s="95"/>
      <c r="C4" s="96"/>
      <c r="D4" s="97"/>
      <c r="E4" s="95"/>
    </row>
    <row r="5" spans="1:6" ht="114.75" customHeight="1" x14ac:dyDescent="0.25">
      <c r="A5" s="77" t="s">
        <v>1</v>
      </c>
      <c r="B5" s="77" t="s">
        <v>285</v>
      </c>
      <c r="C5" s="77" t="s">
        <v>241</v>
      </c>
      <c r="D5" s="77" t="s">
        <v>286</v>
      </c>
      <c r="E5" s="77" t="s">
        <v>287</v>
      </c>
    </row>
    <row r="6" spans="1:6" x14ac:dyDescent="0.25">
      <c r="A6" s="134" t="s">
        <v>130</v>
      </c>
      <c r="B6" s="135" t="s">
        <v>406</v>
      </c>
      <c r="C6" s="139">
        <f>+C7+C10</f>
        <v>1095</v>
      </c>
      <c r="D6" s="98">
        <f>+D7+D22</f>
        <v>0</v>
      </c>
      <c r="E6" s="98">
        <f>+C6+D6</f>
        <v>1095</v>
      </c>
    </row>
    <row r="7" spans="1:6" x14ac:dyDescent="0.25">
      <c r="A7" s="140">
        <v>1</v>
      </c>
      <c r="B7" s="141" t="s">
        <v>407</v>
      </c>
      <c r="C7" s="142">
        <f>+C8+C9</f>
        <v>1095</v>
      </c>
      <c r="D7" s="98">
        <v>0</v>
      </c>
      <c r="E7" s="98">
        <f t="shared" ref="E7:E24" si="0">+C7+D7</f>
        <v>1095</v>
      </c>
    </row>
    <row r="8" spans="1:6" x14ac:dyDescent="0.25">
      <c r="A8" s="143" t="s">
        <v>123</v>
      </c>
      <c r="B8" s="141" t="s">
        <v>408</v>
      </c>
      <c r="C8" s="142">
        <f>'[1]01'!C11+'[1]01'!C12+'[1]01'!C14+'[1]01'!C15+'[1]01'!C17+'[1]01'!C18+'[1]01'!C20+'[1]01'!C23+'[1]01'!C24+'[1]01'!C26</f>
        <v>1095</v>
      </c>
      <c r="D8" s="99">
        <v>0</v>
      </c>
      <c r="E8" s="98">
        <f t="shared" si="0"/>
        <v>1095</v>
      </c>
    </row>
    <row r="9" spans="1:6" x14ac:dyDescent="0.25">
      <c r="A9" s="143" t="s">
        <v>123</v>
      </c>
      <c r="B9" s="144" t="str">
        <f>'[1]01'!B21</f>
        <v>Thu tiền sử dụng đất</v>
      </c>
      <c r="C9" s="142">
        <v>0</v>
      </c>
      <c r="D9" s="99">
        <v>0</v>
      </c>
      <c r="E9" s="98">
        <f t="shared" si="0"/>
        <v>0</v>
      </c>
    </row>
    <row r="10" spans="1:6" x14ac:dyDescent="0.25">
      <c r="A10" s="140" t="s">
        <v>123</v>
      </c>
      <c r="B10" s="144" t="str">
        <f>'[1]07'!B125</f>
        <v>Thu bổ sung từ ngân sách tỉnh</v>
      </c>
      <c r="C10" s="142"/>
      <c r="D10" s="98">
        <v>0</v>
      </c>
      <c r="E10" s="98">
        <f t="shared" si="0"/>
        <v>0</v>
      </c>
    </row>
    <row r="11" spans="1:6" x14ac:dyDescent="0.25">
      <c r="A11" s="134" t="s">
        <v>159</v>
      </c>
      <c r="B11" s="135" t="s">
        <v>377</v>
      </c>
      <c r="C11" s="139">
        <f>+C12+C13+C14+C17</f>
        <v>166776.4</v>
      </c>
      <c r="D11" s="139">
        <f>+D12+D13+D14+D17</f>
        <v>78369.257000000012</v>
      </c>
      <c r="E11" s="139">
        <f>+E12+E13+E14+E17</f>
        <v>245145.65700000001</v>
      </c>
    </row>
    <row r="12" spans="1:6" ht="50.25" customHeight="1" x14ac:dyDescent="0.25">
      <c r="A12" s="140">
        <v>1</v>
      </c>
      <c r="B12" s="141" t="s">
        <v>409</v>
      </c>
      <c r="C12" s="142">
        <v>762</v>
      </c>
      <c r="D12" s="101">
        <v>0</v>
      </c>
      <c r="E12" s="101">
        <v>762</v>
      </c>
      <c r="F12" s="221">
        <f>+E11-E18</f>
        <v>-0.29999999998835847</v>
      </c>
    </row>
    <row r="13" spans="1:6" x14ac:dyDescent="0.25">
      <c r="A13" s="143">
        <v>2</v>
      </c>
      <c r="B13" s="144" t="str">
        <f>'[1]07'!B122</f>
        <v>Thu để lại đầu tư từ tiền sử dụng đất</v>
      </c>
      <c r="C13" s="142">
        <v>0</v>
      </c>
      <c r="D13" s="101">
        <v>0</v>
      </c>
      <c r="E13" s="101">
        <f t="shared" si="0"/>
        <v>0</v>
      </c>
    </row>
    <row r="14" spans="1:6" x14ac:dyDescent="0.25">
      <c r="A14" s="140">
        <v>3</v>
      </c>
      <c r="B14" s="141" t="s">
        <v>410</v>
      </c>
      <c r="C14" s="142">
        <f>+C15+C16</f>
        <v>166014.39999999999</v>
      </c>
      <c r="D14" s="142">
        <f>+D15+D16</f>
        <v>38735.557000000015</v>
      </c>
      <c r="E14" s="142">
        <f>+E15+E16</f>
        <v>204749.95699999999</v>
      </c>
    </row>
    <row r="15" spans="1:6" x14ac:dyDescent="0.25">
      <c r="A15" s="143" t="s">
        <v>123</v>
      </c>
      <c r="B15" s="141" t="s">
        <v>411</v>
      </c>
      <c r="C15" s="145">
        <f>141607.6+4670+2979.8-762</f>
        <v>148495.4</v>
      </c>
      <c r="D15" s="101">
        <f>+'Biểu Thu '!D125</f>
        <v>1232.43</v>
      </c>
      <c r="E15" s="101">
        <f t="shared" si="0"/>
        <v>149727.82999999999</v>
      </c>
    </row>
    <row r="16" spans="1:6" x14ac:dyDescent="0.25">
      <c r="A16" s="143" t="s">
        <v>123</v>
      </c>
      <c r="B16" s="141" t="s">
        <v>412</v>
      </c>
      <c r="C16" s="145">
        <v>17519</v>
      </c>
      <c r="D16" s="101">
        <f>+'Biểu Thu '!D126</f>
        <v>37503.127000000015</v>
      </c>
      <c r="E16" s="101">
        <f t="shared" si="0"/>
        <v>55022.127000000015</v>
      </c>
    </row>
    <row r="17" spans="1:6" x14ac:dyDescent="0.25">
      <c r="A17" s="140">
        <v>4</v>
      </c>
      <c r="B17" s="147" t="s">
        <v>418</v>
      </c>
      <c r="C17" s="142"/>
      <c r="D17" s="101">
        <f>+'Biểu Thu '!D129</f>
        <v>39633.699999999997</v>
      </c>
      <c r="E17" s="101">
        <f t="shared" si="0"/>
        <v>39633.699999999997</v>
      </c>
    </row>
    <row r="18" spans="1:6" x14ac:dyDescent="0.25">
      <c r="A18" s="134" t="s">
        <v>413</v>
      </c>
      <c r="B18" s="135" t="s">
        <v>391</v>
      </c>
      <c r="C18" s="139">
        <f>+C19+C24+C25</f>
        <v>166776.4</v>
      </c>
      <c r="D18" s="139">
        <f t="shared" ref="D18" si="1">+D19+D24+D25</f>
        <v>78369.557000000015</v>
      </c>
      <c r="E18" s="139">
        <f>+E19+E24+E25</f>
        <v>245145.95699999999</v>
      </c>
      <c r="F18">
        <v>762</v>
      </c>
    </row>
    <row r="19" spans="1:6" x14ac:dyDescent="0.25">
      <c r="A19" s="136" t="s">
        <v>2</v>
      </c>
      <c r="B19" s="137" t="s">
        <v>414</v>
      </c>
      <c r="C19" s="139">
        <f>+C20+C21+C22+C23</f>
        <v>149257.4</v>
      </c>
      <c r="D19" s="139">
        <f t="shared" ref="D19" si="2">+D20+D21+D22+D23</f>
        <v>27711</v>
      </c>
      <c r="E19" s="139">
        <f>+E20+E21+E22+E23</f>
        <v>176968.4</v>
      </c>
      <c r="F19" s="221">
        <f>+E18-F18</f>
        <v>244383.95699999999</v>
      </c>
    </row>
    <row r="20" spans="1:6" x14ac:dyDescent="0.25">
      <c r="A20" s="140">
        <v>1</v>
      </c>
      <c r="B20" s="141" t="s">
        <v>392</v>
      </c>
      <c r="C20" s="142">
        <v>4670</v>
      </c>
      <c r="D20" s="101">
        <v>18629</v>
      </c>
      <c r="E20" s="101">
        <f>+C20+D20</f>
        <v>23299</v>
      </c>
      <c r="F20" s="79">
        <f>+F19-290</f>
        <v>244093.95699999999</v>
      </c>
    </row>
    <row r="21" spans="1:6" x14ac:dyDescent="0.25">
      <c r="A21" s="140">
        <v>2</v>
      </c>
      <c r="B21" s="141" t="s">
        <v>393</v>
      </c>
      <c r="C21" s="142">
        <v>141607.6</v>
      </c>
      <c r="D21" s="101">
        <f>8782+300</f>
        <v>9082</v>
      </c>
      <c r="E21" s="101">
        <f>+C21+D21</f>
        <v>150689.60000000001</v>
      </c>
      <c r="F21" s="221">
        <f>+F20-E18</f>
        <v>-1052</v>
      </c>
    </row>
    <row r="22" spans="1:6" x14ac:dyDescent="0.25">
      <c r="A22" s="140">
        <v>3</v>
      </c>
      <c r="B22" s="146" t="s">
        <v>415</v>
      </c>
      <c r="C22" s="142"/>
      <c r="D22" s="101">
        <v>0</v>
      </c>
      <c r="E22" s="101">
        <v>0</v>
      </c>
    </row>
    <row r="23" spans="1:6" x14ac:dyDescent="0.25">
      <c r="A23" s="140">
        <v>3</v>
      </c>
      <c r="B23" s="146" t="s">
        <v>416</v>
      </c>
      <c r="C23" s="142">
        <v>2979.8</v>
      </c>
      <c r="D23" s="100">
        <v>0</v>
      </c>
      <c r="E23" s="101">
        <f t="shared" si="0"/>
        <v>2979.8</v>
      </c>
      <c r="F23" s="79"/>
    </row>
    <row r="24" spans="1:6" x14ac:dyDescent="0.25">
      <c r="A24" s="134" t="s">
        <v>3</v>
      </c>
      <c r="B24" s="138" t="s">
        <v>417</v>
      </c>
      <c r="C24" s="139">
        <v>17519</v>
      </c>
      <c r="D24" s="101">
        <f>+D14+11923</f>
        <v>50658.557000000015</v>
      </c>
      <c r="E24" s="98">
        <f t="shared" si="0"/>
        <v>68177.557000000015</v>
      </c>
    </row>
  </sheetData>
  <mergeCells count="3">
    <mergeCell ref="D1:E1"/>
    <mergeCell ref="A2:E2"/>
    <mergeCell ref="A3:E3"/>
  </mergeCells>
  <pageMargins left="0.72" right="0.56000000000000005" top="0.75" bottom="0.75" header="0.3" footer="0.3"/>
  <pageSetup paperSize="9" scale="9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C58440-01E1-4E64-BCAE-D9F760FF0F59}">
  <dimension ref="A1:L292"/>
  <sheetViews>
    <sheetView view="pageBreakPreview" topLeftCell="A4" zoomScale="112" zoomScaleNormal="100" zoomScaleSheetLayoutView="112" workbookViewId="0">
      <selection activeCell="D39" sqref="D39"/>
    </sheetView>
  </sheetViews>
  <sheetFormatPr defaultRowHeight="15.75" x14ac:dyDescent="0.25"/>
  <cols>
    <col min="1" max="1" width="6" style="348" customWidth="1"/>
    <col min="2" max="2" width="33.5" customWidth="1"/>
    <col min="3" max="3" width="11.5" customWidth="1"/>
    <col min="4" max="4" width="9.75" customWidth="1"/>
    <col min="5" max="5" width="9.875" customWidth="1"/>
    <col min="6" max="6" width="10.25" customWidth="1"/>
    <col min="7" max="7" width="9.75" customWidth="1"/>
    <col min="8" max="8" width="15" customWidth="1"/>
    <col min="9" max="9" width="11.625" bestFit="1" customWidth="1"/>
    <col min="10" max="10" width="11.5" bestFit="1" customWidth="1"/>
    <col min="11" max="11" width="10.625" customWidth="1"/>
    <col min="12" max="12" width="9.625" bestFit="1" customWidth="1"/>
  </cols>
  <sheetData>
    <row r="1" spans="1:11" ht="15.75" customHeight="1" x14ac:dyDescent="0.25">
      <c r="A1" s="280"/>
      <c r="B1" s="78"/>
      <c r="C1" s="364"/>
      <c r="D1" s="365" t="s">
        <v>405</v>
      </c>
      <c r="E1" s="225"/>
      <c r="F1" s="453" t="s">
        <v>435</v>
      </c>
      <c r="G1" s="453"/>
    </row>
    <row r="2" spans="1:11" x14ac:dyDescent="0.25">
      <c r="A2" s="454" t="s">
        <v>434</v>
      </c>
      <c r="B2" s="454"/>
      <c r="C2" s="454"/>
      <c r="D2" s="454"/>
      <c r="E2" s="454"/>
      <c r="F2" s="454"/>
      <c r="G2" s="454"/>
    </row>
    <row r="3" spans="1:11" ht="15.75" customHeight="1" x14ac:dyDescent="0.25">
      <c r="A3" s="455" t="str">
        <f>+'[2]Biểu Thu '!A5:E5</f>
        <v>(Kèm theo Tờ trình số 112/TTr- UBND ngày 02 tháng 7 năm 2026 của UBND xã Lùng Phình)</v>
      </c>
      <c r="B3" s="455"/>
      <c r="C3" s="455"/>
      <c r="D3" s="455"/>
      <c r="E3" s="455"/>
      <c r="F3" s="455"/>
      <c r="G3" s="455"/>
    </row>
    <row r="4" spans="1:11" ht="15.75" customHeight="1" x14ac:dyDescent="0.25">
      <c r="A4" s="367"/>
      <c r="B4" s="368"/>
      <c r="C4" s="369"/>
      <c r="D4" s="369"/>
      <c r="E4" s="456" t="s">
        <v>125</v>
      </c>
      <c r="F4" s="456"/>
      <c r="G4" s="456"/>
    </row>
    <row r="5" spans="1:11" ht="15.75" customHeight="1" x14ac:dyDescent="0.25">
      <c r="A5" s="464" t="s">
        <v>1</v>
      </c>
      <c r="B5" s="460" t="s">
        <v>126</v>
      </c>
      <c r="C5" s="460" t="s">
        <v>241</v>
      </c>
      <c r="D5" s="457" t="s">
        <v>430</v>
      </c>
      <c r="E5" s="458"/>
      <c r="F5" s="459"/>
      <c r="G5" s="462" t="s">
        <v>129</v>
      </c>
    </row>
    <row r="6" spans="1:11" ht="127.5" customHeight="1" x14ac:dyDescent="0.25">
      <c r="A6" s="464"/>
      <c r="B6" s="461"/>
      <c r="C6" s="461"/>
      <c r="D6" s="226" t="s">
        <v>420</v>
      </c>
      <c r="E6" s="226" t="s">
        <v>127</v>
      </c>
      <c r="F6" s="226" t="s">
        <v>128</v>
      </c>
      <c r="G6" s="463"/>
      <c r="I6" s="79">
        <f>+D7+E7-F7</f>
        <v>78256.594999999972</v>
      </c>
    </row>
    <row r="7" spans="1:11" x14ac:dyDescent="0.25">
      <c r="A7" s="316"/>
      <c r="B7" s="287" t="s">
        <v>176</v>
      </c>
      <c r="C7" s="227">
        <f>+C8+C191</f>
        <v>166775.82256</v>
      </c>
      <c r="D7" s="227">
        <f>+D8+D191</f>
        <v>39633.810999999994</v>
      </c>
      <c r="E7" s="227">
        <f>+E8+E191</f>
        <v>80966.168999999994</v>
      </c>
      <c r="F7" s="227">
        <f>+F8+F191</f>
        <v>42343.385000000002</v>
      </c>
      <c r="G7" s="227">
        <f>+G8+G191</f>
        <v>244855.55756000002</v>
      </c>
      <c r="H7" s="313">
        <v>245146</v>
      </c>
      <c r="I7" s="315">
        <f>+D7+E7</f>
        <v>120599.97999999998</v>
      </c>
    </row>
    <row r="8" spans="1:11" x14ac:dyDescent="0.25">
      <c r="A8" s="316" t="s">
        <v>130</v>
      </c>
      <c r="B8" s="284" t="s">
        <v>131</v>
      </c>
      <c r="C8" s="227">
        <f>+C9+C16+C190+C189</f>
        <v>149257.32256</v>
      </c>
      <c r="D8" s="227">
        <f>+D9+D16+D190+D189</f>
        <v>10776.289999999999</v>
      </c>
      <c r="E8" s="227">
        <f>+E9+E16+E190+E189</f>
        <v>34558.116999999998</v>
      </c>
      <c r="F8" s="227">
        <f>+F9+F16+F190+F189</f>
        <v>33705.536</v>
      </c>
      <c r="G8" s="227">
        <f>+G9+G16+G190+G189</f>
        <v>160886.19356000001</v>
      </c>
      <c r="H8" s="224">
        <v>290</v>
      </c>
      <c r="I8" s="79">
        <f>+H7-I7</f>
        <v>124546.02000000002</v>
      </c>
      <c r="J8">
        <v>39634</v>
      </c>
    </row>
    <row r="9" spans="1:11" x14ac:dyDescent="0.25">
      <c r="A9" s="316" t="s">
        <v>132</v>
      </c>
      <c r="B9" s="287" t="s">
        <v>177</v>
      </c>
      <c r="C9" s="227">
        <f>+C10+C14+C15</f>
        <v>4670</v>
      </c>
      <c r="D9" s="227">
        <f>+D10+D14+D15</f>
        <v>0</v>
      </c>
      <c r="E9" s="227">
        <f>+E10+E14+E15</f>
        <v>0</v>
      </c>
      <c r="F9" s="227">
        <f>+F10+F14+F15</f>
        <v>0</v>
      </c>
      <c r="G9" s="227">
        <f>+G10+G14+G15</f>
        <v>4670</v>
      </c>
      <c r="H9" s="79">
        <f>+H7-H8</f>
        <v>244856</v>
      </c>
      <c r="I9" s="79">
        <f>+I8-1825</f>
        <v>122721.02000000002</v>
      </c>
      <c r="J9" s="224">
        <f>+J8-D7</f>
        <v>0.18900000000576256</v>
      </c>
    </row>
    <row r="10" spans="1:11" s="78" customFormat="1" x14ac:dyDescent="0.25">
      <c r="A10" s="316" t="s">
        <v>2</v>
      </c>
      <c r="B10" s="287" t="s">
        <v>178</v>
      </c>
      <c r="C10" s="227">
        <f>+C11</f>
        <v>0</v>
      </c>
      <c r="D10" s="227"/>
      <c r="E10" s="227">
        <f t="shared" ref="E10:F10" si="0">+E11</f>
        <v>0</v>
      </c>
      <c r="F10" s="227">
        <f t="shared" si="0"/>
        <v>0</v>
      </c>
      <c r="G10" s="227">
        <f>+C10++D10+E10-F10</f>
        <v>0</v>
      </c>
      <c r="H10" s="222">
        <f>+H9-G7</f>
        <v>0.44243999998434447</v>
      </c>
      <c r="K10" s="78">
        <v>39634</v>
      </c>
    </row>
    <row r="11" spans="1:11" s="78" customFormat="1" x14ac:dyDescent="0.25">
      <c r="A11" s="316">
        <v>1</v>
      </c>
      <c r="B11" s="287" t="s">
        <v>179</v>
      </c>
      <c r="C11" s="371"/>
      <c r="D11" s="371"/>
      <c r="E11" s="228">
        <f>+SUM(E12:E13)</f>
        <v>0</v>
      </c>
      <c r="F11" s="228">
        <f>+SUM(F12:F13)</f>
        <v>0</v>
      </c>
      <c r="G11" s="227">
        <f t="shared" ref="G11:G13" si="1">+C11++D11+E11-F11</f>
        <v>0</v>
      </c>
      <c r="H11" s="222">
        <f>+H10-G7</f>
        <v>-244855.11512000003</v>
      </c>
      <c r="I11" s="78">
        <v>53176</v>
      </c>
      <c r="K11" s="222">
        <f>+K10-D7</f>
        <v>0.18900000000576256</v>
      </c>
    </row>
    <row r="12" spans="1:11" x14ac:dyDescent="0.25">
      <c r="A12" s="398"/>
      <c r="B12" s="317" t="s">
        <v>180</v>
      </c>
      <c r="C12" s="372"/>
      <c r="D12" s="372"/>
      <c r="E12" s="229"/>
      <c r="F12" s="229"/>
      <c r="G12" s="227">
        <f t="shared" si="1"/>
        <v>0</v>
      </c>
      <c r="I12">
        <v>1978</v>
      </c>
    </row>
    <row r="13" spans="1:11" x14ac:dyDescent="0.25">
      <c r="A13" s="398"/>
      <c r="B13" s="317" t="s">
        <v>181</v>
      </c>
      <c r="C13" s="372"/>
      <c r="D13" s="372">
        <v>0</v>
      </c>
      <c r="E13" s="229">
        <v>0</v>
      </c>
      <c r="F13" s="229"/>
      <c r="G13" s="227">
        <f t="shared" si="1"/>
        <v>0</v>
      </c>
      <c r="H13" s="79">
        <f>+G8-G10</f>
        <v>160886.19356000001</v>
      </c>
      <c r="I13">
        <f>+I11-I12</f>
        <v>51198</v>
      </c>
      <c r="J13" s="281">
        <f>+E7-E283-E280</f>
        <v>47885.168999999994</v>
      </c>
    </row>
    <row r="14" spans="1:11" x14ac:dyDescent="0.25">
      <c r="A14" s="316" t="s">
        <v>3</v>
      </c>
      <c r="B14" s="287" t="s">
        <v>182</v>
      </c>
      <c r="C14" s="371"/>
      <c r="D14" s="371"/>
      <c r="E14" s="373"/>
      <c r="F14" s="373"/>
      <c r="G14" s="227">
        <f>+C14+E14-F14</f>
        <v>0</v>
      </c>
      <c r="H14" s="79">
        <f>+H13-H16</f>
        <v>-2292.8364400000137</v>
      </c>
      <c r="I14">
        <v>1487</v>
      </c>
      <c r="J14" s="281">
        <f>+E7-J13</f>
        <v>33081</v>
      </c>
    </row>
    <row r="15" spans="1:11" x14ac:dyDescent="0.25">
      <c r="A15" s="316" t="s">
        <v>4</v>
      </c>
      <c r="B15" s="287" t="s">
        <v>239</v>
      </c>
      <c r="C15" s="371">
        <v>4670</v>
      </c>
      <c r="D15" s="371"/>
      <c r="E15" s="373">
        <v>0</v>
      </c>
      <c r="F15" s="373"/>
      <c r="G15" s="227">
        <f>D15+C15+E15-F15</f>
        <v>4670</v>
      </c>
      <c r="H15" s="79">
        <f>+H16+G15</f>
        <v>167849.03000000003</v>
      </c>
      <c r="I15" t="e">
        <f>+#REF!+I14</f>
        <v>#REF!</v>
      </c>
    </row>
    <row r="16" spans="1:11" s="78" customFormat="1" x14ac:dyDescent="0.25">
      <c r="A16" s="316" t="s">
        <v>133</v>
      </c>
      <c r="B16" s="287" t="s">
        <v>183</v>
      </c>
      <c r="C16" s="371">
        <f>+C17+C71+C88+C102+C111+C128+C137+C142+C154+C164+C178+C183+C186</f>
        <v>142049.32256</v>
      </c>
      <c r="D16" s="371">
        <f>+D17+D71+D88+D102+D111+D128+D137+D142+D154+D164+D178+D183+D186</f>
        <v>8781.1299999999992</v>
      </c>
      <c r="E16" s="371">
        <f>+E17+E71+E88+E102+E111+E128+E137+E142+E154+E164+E178+E183+E186</f>
        <v>34558.116999999998</v>
      </c>
      <c r="F16" s="371">
        <f>+F17+F71+F88+F102+F111+F128+F137+F142+F154+F164+F178+F183+F186</f>
        <v>31153.806999999997</v>
      </c>
      <c r="G16" s="371">
        <f>+G17+G71+G88+G102+G111+G128+G137+G142+G154+G164+G178+G183+G186</f>
        <v>154234.76256</v>
      </c>
      <c r="H16" s="78">
        <f>148495.6+1199.23+33.2+4670+8781</f>
        <v>163179.03000000003</v>
      </c>
      <c r="I16" s="78">
        <v>449</v>
      </c>
    </row>
    <row r="17" spans="1:12" ht="31.5" x14ac:dyDescent="0.25">
      <c r="A17" s="316" t="s">
        <v>2</v>
      </c>
      <c r="B17" s="287" t="s">
        <v>184</v>
      </c>
      <c r="C17" s="371">
        <f>+C18+C39+C49+C59+C65</f>
        <v>14249.916000000001</v>
      </c>
      <c r="D17" s="371">
        <f>+D18+D39+D49+D59</f>
        <v>3025.7</v>
      </c>
      <c r="E17" s="371">
        <f>+E18+E39+E49+E59+E65</f>
        <v>2861.31</v>
      </c>
      <c r="F17" s="371">
        <f>+F18+F39+F49+F59+F65</f>
        <v>20</v>
      </c>
      <c r="G17" s="371">
        <f>+G18+G39+G49+G59+G65</f>
        <v>20116.925999999999</v>
      </c>
      <c r="H17" s="79">
        <f>+H16-G8</f>
        <v>2292.8364400000137</v>
      </c>
      <c r="I17" s="374" t="e">
        <f>+I15+I16</f>
        <v>#REF!</v>
      </c>
    </row>
    <row r="18" spans="1:12" s="78" customFormat="1" x14ac:dyDescent="0.25">
      <c r="A18" s="316">
        <v>1</v>
      </c>
      <c r="B18" s="287" t="s">
        <v>185</v>
      </c>
      <c r="C18" s="371">
        <f>+SUM(C19:C36)</f>
        <v>7537.116</v>
      </c>
      <c r="D18" s="371">
        <f>+SUM(D19:D36)</f>
        <v>1208.4000000000001</v>
      </c>
      <c r="E18" s="371">
        <f t="shared" ref="E18:G18" si="2">+SUM(E19:E36)</f>
        <v>1005.28</v>
      </c>
      <c r="F18" s="371">
        <f>+SUM(F19:F36)</f>
        <v>0</v>
      </c>
      <c r="G18" s="371">
        <f t="shared" si="2"/>
        <v>9750.7960000000003</v>
      </c>
      <c r="H18" s="222">
        <f>+H16-H17</f>
        <v>160886.19356000001</v>
      </c>
      <c r="I18" s="222" t="e">
        <f>+I17-E7</f>
        <v>#REF!</v>
      </c>
    </row>
    <row r="19" spans="1:12" ht="31.5" x14ac:dyDescent="0.25">
      <c r="A19" s="399" t="s">
        <v>123</v>
      </c>
      <c r="B19" s="317" t="s">
        <v>877</v>
      </c>
      <c r="C19" s="372">
        <f>4567-0.5</f>
        <v>4566.5</v>
      </c>
      <c r="D19" s="372">
        <v>1208.4000000000001</v>
      </c>
      <c r="E19" s="375">
        <v>37.28</v>
      </c>
      <c r="F19" s="375">
        <v>0</v>
      </c>
      <c r="G19" s="230">
        <f t="shared" ref="G19:G38" si="3">D19+C19+E19-F19</f>
        <v>5812.1799999999994</v>
      </c>
      <c r="H19" s="79">
        <f>+H18-H16</f>
        <v>-2292.8364400000137</v>
      </c>
      <c r="I19">
        <f>150+200+47+890+50+150+60</f>
        <v>1547</v>
      </c>
    </row>
    <row r="20" spans="1:12" ht="31.5" x14ac:dyDescent="0.25">
      <c r="A20" s="399" t="s">
        <v>123</v>
      </c>
      <c r="B20" s="317" t="s">
        <v>134</v>
      </c>
      <c r="C20" s="372">
        <f>336</f>
        <v>336</v>
      </c>
      <c r="D20" s="372"/>
      <c r="E20" s="229"/>
      <c r="F20" s="229"/>
      <c r="G20" s="230">
        <f t="shared" si="3"/>
        <v>336</v>
      </c>
      <c r="H20" s="79"/>
    </row>
    <row r="21" spans="1:12" ht="31.5" x14ac:dyDescent="0.25">
      <c r="A21" s="399" t="s">
        <v>123</v>
      </c>
      <c r="B21" s="317" t="s">
        <v>160</v>
      </c>
      <c r="C21" s="372">
        <v>898</v>
      </c>
      <c r="D21" s="372"/>
      <c r="E21" s="229"/>
      <c r="F21" s="229"/>
      <c r="G21" s="230">
        <f t="shared" si="3"/>
        <v>898</v>
      </c>
      <c r="H21" s="79">
        <f>+G15+G283+G280</f>
        <v>58639</v>
      </c>
      <c r="I21" t="e">
        <f>+I19+#REF!</f>
        <v>#REF!</v>
      </c>
    </row>
    <row r="22" spans="1:12" ht="31.5" x14ac:dyDescent="0.25">
      <c r="A22" s="399" t="s">
        <v>123</v>
      </c>
      <c r="B22" s="317" t="s">
        <v>667</v>
      </c>
      <c r="C22" s="372"/>
      <c r="D22" s="372"/>
      <c r="E22" s="285">
        <v>70</v>
      </c>
      <c r="F22" s="229"/>
      <c r="G22" s="230">
        <f t="shared" si="3"/>
        <v>70</v>
      </c>
      <c r="H22">
        <v>8293</v>
      </c>
      <c r="I22" t="e">
        <f>+I21+I16</f>
        <v>#REF!</v>
      </c>
    </row>
    <row r="23" spans="1:12" s="80" customFormat="1" ht="31.5" x14ac:dyDescent="0.25">
      <c r="A23" s="399" t="s">
        <v>123</v>
      </c>
      <c r="B23" s="317" t="s">
        <v>668</v>
      </c>
      <c r="C23" s="372"/>
      <c r="D23" s="372"/>
      <c r="E23" s="285">
        <v>215</v>
      </c>
      <c r="F23" s="229"/>
      <c r="G23" s="230">
        <f t="shared" si="3"/>
        <v>215</v>
      </c>
      <c r="H23" s="79">
        <f>+H21-H22</f>
        <v>50346</v>
      </c>
      <c r="I23"/>
      <c r="J23"/>
      <c r="K23"/>
      <c r="L23"/>
    </row>
    <row r="24" spans="1:12" s="80" customFormat="1" ht="31.5" x14ac:dyDescent="0.25">
      <c r="A24" s="399" t="s">
        <v>123</v>
      </c>
      <c r="B24" s="317" t="s">
        <v>669</v>
      </c>
      <c r="C24" s="372"/>
      <c r="D24" s="372"/>
      <c r="E24" s="285">
        <v>98</v>
      </c>
      <c r="F24" s="229"/>
      <c r="G24" s="230">
        <f t="shared" si="3"/>
        <v>98</v>
      </c>
      <c r="H24"/>
      <c r="I24"/>
      <c r="J24"/>
      <c r="K24"/>
      <c r="L24"/>
    </row>
    <row r="25" spans="1:12" s="80" customFormat="1" ht="31.5" x14ac:dyDescent="0.25">
      <c r="A25" s="399" t="s">
        <v>123</v>
      </c>
      <c r="B25" s="318" t="s">
        <v>878</v>
      </c>
      <c r="C25" s="372"/>
      <c r="D25" s="372"/>
      <c r="E25" s="285">
        <v>70</v>
      </c>
      <c r="F25" s="229"/>
      <c r="G25" s="230">
        <f t="shared" si="3"/>
        <v>70</v>
      </c>
      <c r="H25"/>
      <c r="I25"/>
      <c r="J25"/>
      <c r="K25"/>
      <c r="L25"/>
    </row>
    <row r="26" spans="1:12" s="80" customFormat="1" ht="47.25" x14ac:dyDescent="0.25">
      <c r="A26" s="399" t="s">
        <v>123</v>
      </c>
      <c r="B26" s="318" t="s">
        <v>671</v>
      </c>
      <c r="C26" s="372"/>
      <c r="D26" s="372"/>
      <c r="E26" s="285">
        <v>155</v>
      </c>
      <c r="F26" s="229"/>
      <c r="G26" s="230">
        <f t="shared" si="3"/>
        <v>155</v>
      </c>
      <c r="H26"/>
      <c r="I26"/>
      <c r="J26"/>
      <c r="K26"/>
      <c r="L26"/>
    </row>
    <row r="27" spans="1:12" s="80" customFormat="1" ht="31.5" x14ac:dyDescent="0.25">
      <c r="A27" s="400" t="s">
        <v>123</v>
      </c>
      <c r="B27" s="318" t="s">
        <v>274</v>
      </c>
      <c r="C27" s="375"/>
      <c r="D27" s="375"/>
      <c r="E27" s="229">
        <v>150</v>
      </c>
      <c r="F27" s="229"/>
      <c r="G27" s="230">
        <f>D27+C27+E27-F27</f>
        <v>150</v>
      </c>
      <c r="H27"/>
      <c r="I27"/>
      <c r="J27"/>
      <c r="K27"/>
      <c r="L27"/>
    </row>
    <row r="28" spans="1:12" ht="47.25" x14ac:dyDescent="0.25">
      <c r="A28" s="400" t="s">
        <v>123</v>
      </c>
      <c r="B28" s="318" t="s">
        <v>282</v>
      </c>
      <c r="C28" s="375"/>
      <c r="D28" s="375"/>
      <c r="E28" s="229">
        <v>150</v>
      </c>
      <c r="F28" s="229"/>
      <c r="G28" s="230">
        <f>D28+C28+E28-F28</f>
        <v>150</v>
      </c>
    </row>
    <row r="29" spans="1:12" s="80" customFormat="1" ht="47.25" x14ac:dyDescent="0.25">
      <c r="A29" s="399" t="s">
        <v>123</v>
      </c>
      <c r="B29" s="318" t="s">
        <v>235</v>
      </c>
      <c r="C29" s="372">
        <v>50</v>
      </c>
      <c r="D29" s="372"/>
      <c r="E29" s="375"/>
      <c r="F29" s="375"/>
      <c r="G29" s="230">
        <f t="shared" si="3"/>
        <v>50</v>
      </c>
      <c r="H29"/>
      <c r="I29"/>
      <c r="J29"/>
      <c r="K29"/>
      <c r="L29"/>
    </row>
    <row r="30" spans="1:12" ht="47.25" x14ac:dyDescent="0.25">
      <c r="A30" s="399" t="s">
        <v>123</v>
      </c>
      <c r="B30" s="318" t="s">
        <v>236</v>
      </c>
      <c r="C30" s="372">
        <v>120</v>
      </c>
      <c r="D30" s="372"/>
      <c r="E30" s="229">
        <v>60</v>
      </c>
      <c r="F30" s="229"/>
      <c r="G30" s="230">
        <f t="shared" si="3"/>
        <v>180</v>
      </c>
    </row>
    <row r="31" spans="1:12" ht="31.5" x14ac:dyDescent="0.25">
      <c r="A31" s="399" t="s">
        <v>123</v>
      </c>
      <c r="B31" s="376" t="s">
        <v>135</v>
      </c>
      <c r="C31" s="372">
        <v>60</v>
      </c>
      <c r="D31" s="372"/>
      <c r="E31" s="375"/>
      <c r="F31" s="375"/>
      <c r="G31" s="230">
        <f t="shared" si="3"/>
        <v>60</v>
      </c>
    </row>
    <row r="32" spans="1:12" x14ac:dyDescent="0.25">
      <c r="A32" s="399" t="s">
        <v>123</v>
      </c>
      <c r="B32" s="317" t="s">
        <v>161</v>
      </c>
      <c r="C32" s="372">
        <v>163</v>
      </c>
      <c r="D32" s="372"/>
      <c r="E32" s="375"/>
      <c r="F32" s="375"/>
      <c r="G32" s="230">
        <f t="shared" si="3"/>
        <v>163</v>
      </c>
    </row>
    <row r="33" spans="1:12" ht="47.25" x14ac:dyDescent="0.25">
      <c r="A33" s="399" t="s">
        <v>123</v>
      </c>
      <c r="B33" s="317" t="s">
        <v>187</v>
      </c>
      <c r="C33" s="372">
        <v>75</v>
      </c>
      <c r="D33" s="372"/>
      <c r="E33" s="229"/>
      <c r="F33" s="229"/>
      <c r="G33" s="230">
        <f t="shared" si="3"/>
        <v>75</v>
      </c>
    </row>
    <row r="34" spans="1:12" ht="31.5" x14ac:dyDescent="0.25">
      <c r="A34" s="399" t="s">
        <v>123</v>
      </c>
      <c r="B34" s="317" t="s">
        <v>237</v>
      </c>
      <c r="C34" s="372">
        <v>100</v>
      </c>
      <c r="D34" s="372"/>
      <c r="E34" s="229"/>
      <c r="F34" s="229"/>
      <c r="G34" s="230">
        <f t="shared" si="3"/>
        <v>100</v>
      </c>
    </row>
    <row r="35" spans="1:12" x14ac:dyDescent="0.25">
      <c r="A35" s="399" t="s">
        <v>123</v>
      </c>
      <c r="B35" s="317" t="s">
        <v>188</v>
      </c>
      <c r="C35" s="372">
        <v>100</v>
      </c>
      <c r="D35" s="372"/>
      <c r="E35" s="229"/>
      <c r="F35" s="229"/>
      <c r="G35" s="230">
        <f t="shared" si="3"/>
        <v>100</v>
      </c>
    </row>
    <row r="36" spans="1:12" ht="47.25" x14ac:dyDescent="0.25">
      <c r="A36" s="399" t="s">
        <v>123</v>
      </c>
      <c r="B36" s="317" t="s">
        <v>136</v>
      </c>
      <c r="C36" s="372">
        <f>+C37+C38</f>
        <v>1068.616</v>
      </c>
      <c r="D36" s="372"/>
      <c r="E36" s="229"/>
      <c r="F36" s="229"/>
      <c r="G36" s="230">
        <f t="shared" si="3"/>
        <v>1068.616</v>
      </c>
    </row>
    <row r="37" spans="1:12" x14ac:dyDescent="0.25">
      <c r="A37" s="399" t="s">
        <v>189</v>
      </c>
      <c r="B37" s="377" t="s">
        <v>190</v>
      </c>
      <c r="C37" s="372">
        <v>497.01599999999996</v>
      </c>
      <c r="D37" s="372"/>
      <c r="E37" s="229"/>
      <c r="F37" s="229"/>
      <c r="G37" s="231">
        <f t="shared" si="3"/>
        <v>497.01599999999996</v>
      </c>
    </row>
    <row r="38" spans="1:12" ht="47.25" x14ac:dyDescent="0.25">
      <c r="A38" s="399" t="s">
        <v>189</v>
      </c>
      <c r="B38" s="377" t="s">
        <v>191</v>
      </c>
      <c r="C38" s="372">
        <v>571.6</v>
      </c>
      <c r="D38" s="372"/>
      <c r="E38" s="229"/>
      <c r="F38" s="229"/>
      <c r="G38" s="231">
        <f t="shared" si="3"/>
        <v>571.6</v>
      </c>
    </row>
    <row r="39" spans="1:12" x14ac:dyDescent="0.25">
      <c r="A39" s="316">
        <v>2</v>
      </c>
      <c r="B39" s="287" t="s">
        <v>170</v>
      </c>
      <c r="C39" s="371">
        <f>+SUM(C40:C48)</f>
        <v>2173</v>
      </c>
      <c r="D39" s="371">
        <f>+SUM(D40:D48)</f>
        <v>1292.3</v>
      </c>
      <c r="E39" s="371">
        <f>+SUM(E40:E48)</f>
        <v>222.6</v>
      </c>
      <c r="F39" s="371">
        <f>+SUM(F40:F48)</f>
        <v>20</v>
      </c>
      <c r="G39" s="371">
        <f>+SUM(G40:G48)</f>
        <v>3667.9</v>
      </c>
      <c r="H39">
        <v>2190</v>
      </c>
    </row>
    <row r="40" spans="1:12" x14ac:dyDescent="0.25">
      <c r="A40" s="399" t="s">
        <v>123</v>
      </c>
      <c r="B40" s="317" t="s">
        <v>137</v>
      </c>
      <c r="C40" s="372">
        <v>1819</v>
      </c>
      <c r="D40" s="372">
        <v>1292.3</v>
      </c>
      <c r="E40" s="375"/>
      <c r="F40" s="375">
        <v>0</v>
      </c>
      <c r="G40" s="230">
        <f>D40+C40+E40-F40</f>
        <v>3111.3</v>
      </c>
      <c r="H40" s="79">
        <f>+H39-C38</f>
        <v>1618.4</v>
      </c>
    </row>
    <row r="41" spans="1:12" s="80" customFormat="1" ht="31.5" x14ac:dyDescent="0.25">
      <c r="A41" s="399" t="s">
        <v>123</v>
      </c>
      <c r="B41" s="317" t="s">
        <v>134</v>
      </c>
      <c r="C41" s="372">
        <f>168</f>
        <v>168</v>
      </c>
      <c r="D41" s="372"/>
      <c r="E41" s="229"/>
      <c r="F41" s="229"/>
      <c r="G41" s="230">
        <f t="shared" ref="G41:G48" si="4">D41+C41+E41-F41</f>
        <v>168</v>
      </c>
      <c r="H41" s="79">
        <f>+H39-H40</f>
        <v>571.59999999999991</v>
      </c>
      <c r="I41"/>
      <c r="J41"/>
      <c r="K41"/>
      <c r="L41"/>
    </row>
    <row r="42" spans="1:12" ht="78.75" x14ac:dyDescent="0.25">
      <c r="A42" s="399" t="s">
        <v>123</v>
      </c>
      <c r="B42" s="317" t="s">
        <v>163</v>
      </c>
      <c r="C42" s="372">
        <v>20</v>
      </c>
      <c r="D42" s="372"/>
      <c r="E42" s="229"/>
      <c r="F42" s="229">
        <v>20</v>
      </c>
      <c r="G42" s="230">
        <f t="shared" si="4"/>
        <v>0</v>
      </c>
    </row>
    <row r="43" spans="1:12" ht="31.5" x14ac:dyDescent="0.25">
      <c r="A43" s="399" t="s">
        <v>123</v>
      </c>
      <c r="B43" s="318" t="s">
        <v>192</v>
      </c>
      <c r="C43" s="372">
        <v>20</v>
      </c>
      <c r="D43" s="372"/>
      <c r="E43" s="229"/>
      <c r="F43" s="229"/>
      <c r="G43" s="230">
        <f t="shared" si="4"/>
        <v>20</v>
      </c>
    </row>
    <row r="44" spans="1:12" x14ac:dyDescent="0.25">
      <c r="A44" s="399" t="s">
        <v>123</v>
      </c>
      <c r="B44" s="318" t="s">
        <v>254</v>
      </c>
      <c r="C44" s="372">
        <v>70</v>
      </c>
      <c r="D44" s="372"/>
      <c r="E44" s="229"/>
      <c r="F44" s="229"/>
      <c r="G44" s="230">
        <f t="shared" si="4"/>
        <v>70</v>
      </c>
    </row>
    <row r="45" spans="1:12" x14ac:dyDescent="0.25">
      <c r="A45" s="399" t="s">
        <v>123</v>
      </c>
      <c r="B45" s="317" t="s">
        <v>161</v>
      </c>
      <c r="C45" s="372">
        <v>76</v>
      </c>
      <c r="D45" s="372"/>
      <c r="E45" s="229"/>
      <c r="F45" s="229"/>
      <c r="G45" s="230">
        <f t="shared" si="4"/>
        <v>76</v>
      </c>
    </row>
    <row r="46" spans="1:12" s="80" customFormat="1" ht="31.5" x14ac:dyDescent="0.25">
      <c r="A46" s="399" t="s">
        <v>123</v>
      </c>
      <c r="B46" s="288" t="s">
        <v>879</v>
      </c>
      <c r="C46" s="375"/>
      <c r="D46" s="375"/>
      <c r="E46" s="229">
        <f>53+15.6</f>
        <v>68.599999999999994</v>
      </c>
      <c r="F46" s="229"/>
      <c r="G46" s="230">
        <f t="shared" si="4"/>
        <v>68.599999999999994</v>
      </c>
      <c r="H46"/>
      <c r="I46"/>
      <c r="J46"/>
      <c r="K46"/>
      <c r="L46"/>
    </row>
    <row r="47" spans="1:12" s="80" customFormat="1" ht="31.5" x14ac:dyDescent="0.25">
      <c r="A47" s="399" t="s">
        <v>123</v>
      </c>
      <c r="B47" s="317" t="s">
        <v>252</v>
      </c>
      <c r="C47" s="372"/>
      <c r="D47" s="372"/>
      <c r="E47" s="229">
        <v>147</v>
      </c>
      <c r="F47" s="229"/>
      <c r="G47" s="230">
        <f t="shared" si="4"/>
        <v>147</v>
      </c>
      <c r="H47"/>
      <c r="I47"/>
      <c r="J47"/>
      <c r="K47"/>
      <c r="L47"/>
    </row>
    <row r="48" spans="1:12" s="80" customFormat="1" ht="63" x14ac:dyDescent="0.25">
      <c r="A48" s="399" t="s">
        <v>123</v>
      </c>
      <c r="B48" s="286" t="s">
        <v>253</v>
      </c>
      <c r="C48" s="372"/>
      <c r="D48" s="372"/>
      <c r="E48" s="229">
        <v>7</v>
      </c>
      <c r="F48" s="229"/>
      <c r="G48" s="230">
        <f t="shared" si="4"/>
        <v>7</v>
      </c>
      <c r="H48"/>
      <c r="I48"/>
      <c r="J48"/>
      <c r="K48"/>
      <c r="L48"/>
    </row>
    <row r="49" spans="1:12" x14ac:dyDescent="0.25">
      <c r="A49" s="316">
        <v>3</v>
      </c>
      <c r="B49" s="287" t="s">
        <v>162</v>
      </c>
      <c r="C49" s="371">
        <f>+SUM(C50:C58)</f>
        <v>2639.8</v>
      </c>
      <c r="D49" s="371">
        <f>+SUM(D50:D58)</f>
        <v>525</v>
      </c>
      <c r="E49" s="371">
        <f>+SUM(E50:E58)</f>
        <v>161</v>
      </c>
      <c r="F49" s="371">
        <f>+SUM(F50:F58)</f>
        <v>0</v>
      </c>
      <c r="G49" s="371">
        <f>+SUM(G50:G58)</f>
        <v>3325.8</v>
      </c>
    </row>
    <row r="50" spans="1:12" x14ac:dyDescent="0.25">
      <c r="A50" s="399" t="s">
        <v>123</v>
      </c>
      <c r="B50" s="317" t="s">
        <v>137</v>
      </c>
      <c r="C50" s="319">
        <v>2224.8000000000002</v>
      </c>
      <c r="D50" s="319">
        <f>525</f>
        <v>525</v>
      </c>
      <c r="E50" s="229"/>
      <c r="F50" s="229">
        <v>0</v>
      </c>
      <c r="G50" s="230">
        <f t="shared" ref="G50:G58" si="5">D50+C50+E50-F50</f>
        <v>2749.8</v>
      </c>
    </row>
    <row r="51" spans="1:12" ht="31.5" x14ac:dyDescent="0.25">
      <c r="A51" s="399" t="s">
        <v>123</v>
      </c>
      <c r="B51" s="317" t="s">
        <v>134</v>
      </c>
      <c r="C51" s="319">
        <v>260</v>
      </c>
      <c r="D51" s="319"/>
      <c r="E51" s="229"/>
      <c r="F51" s="229"/>
      <c r="G51" s="230">
        <f t="shared" si="5"/>
        <v>260</v>
      </c>
    </row>
    <row r="52" spans="1:12" x14ac:dyDescent="0.25">
      <c r="A52" s="399" t="s">
        <v>123</v>
      </c>
      <c r="B52" s="318" t="s">
        <v>240</v>
      </c>
      <c r="C52" s="319">
        <v>20</v>
      </c>
      <c r="D52" s="319"/>
      <c r="E52" s="229"/>
      <c r="F52" s="229"/>
      <c r="G52" s="230">
        <f t="shared" si="5"/>
        <v>20</v>
      </c>
    </row>
    <row r="53" spans="1:12" x14ac:dyDescent="0.25">
      <c r="A53" s="399" t="s">
        <v>123</v>
      </c>
      <c r="B53" s="317" t="s">
        <v>161</v>
      </c>
      <c r="C53" s="372">
        <v>135</v>
      </c>
      <c r="D53" s="319"/>
      <c r="E53" s="229"/>
      <c r="F53" s="229"/>
      <c r="G53" s="230">
        <f t="shared" si="5"/>
        <v>135</v>
      </c>
    </row>
    <row r="54" spans="1:12" s="80" customFormat="1" ht="31.5" x14ac:dyDescent="0.25">
      <c r="A54" s="400" t="s">
        <v>123</v>
      </c>
      <c r="B54" s="318" t="s">
        <v>276</v>
      </c>
      <c r="C54" s="375"/>
      <c r="D54" s="375"/>
      <c r="E54" s="229">
        <v>47</v>
      </c>
      <c r="F54" s="229"/>
      <c r="G54" s="230">
        <f>D54+C54+E54-F54</f>
        <v>47</v>
      </c>
      <c r="H54"/>
      <c r="I54"/>
      <c r="J54"/>
      <c r="K54"/>
      <c r="L54"/>
    </row>
    <row r="55" spans="1:12" s="80" customFormat="1" ht="47.25" x14ac:dyDescent="0.25">
      <c r="A55" s="399" t="s">
        <v>123</v>
      </c>
      <c r="B55" s="317" t="s">
        <v>678</v>
      </c>
      <c r="C55" s="372"/>
      <c r="D55" s="319"/>
      <c r="E55" s="229">
        <v>20</v>
      </c>
      <c r="F55" s="229"/>
      <c r="G55" s="230">
        <f t="shared" si="5"/>
        <v>20</v>
      </c>
      <c r="H55"/>
      <c r="I55"/>
      <c r="J55"/>
      <c r="K55"/>
      <c r="L55"/>
    </row>
    <row r="56" spans="1:12" s="80" customFormat="1" ht="31.5" x14ac:dyDescent="0.25">
      <c r="A56" s="399" t="s">
        <v>123</v>
      </c>
      <c r="B56" s="317" t="s">
        <v>679</v>
      </c>
      <c r="C56" s="372"/>
      <c r="D56" s="319"/>
      <c r="E56" s="229">
        <v>30</v>
      </c>
      <c r="F56" s="229"/>
      <c r="G56" s="230">
        <f t="shared" si="5"/>
        <v>30</v>
      </c>
      <c r="H56"/>
      <c r="I56"/>
      <c r="J56"/>
      <c r="K56"/>
      <c r="L56"/>
    </row>
    <row r="57" spans="1:12" s="80" customFormat="1" x14ac:dyDescent="0.25">
      <c r="A57" s="399" t="s">
        <v>123</v>
      </c>
      <c r="B57" s="317" t="s">
        <v>250</v>
      </c>
      <c r="C57" s="372"/>
      <c r="D57" s="319"/>
      <c r="E57" s="229">
        <v>30</v>
      </c>
      <c r="F57" s="229"/>
      <c r="G57" s="230">
        <f t="shared" si="5"/>
        <v>30</v>
      </c>
      <c r="H57"/>
      <c r="I57"/>
      <c r="J57"/>
      <c r="K57"/>
      <c r="L57"/>
    </row>
    <row r="58" spans="1:12" s="78" customFormat="1" ht="47.25" x14ac:dyDescent="0.25">
      <c r="A58" s="399" t="s">
        <v>123</v>
      </c>
      <c r="B58" s="317" t="s">
        <v>662</v>
      </c>
      <c r="C58" s="372"/>
      <c r="D58" s="319"/>
      <c r="E58" s="229">
        <v>34</v>
      </c>
      <c r="F58" s="229"/>
      <c r="G58" s="230">
        <f t="shared" si="5"/>
        <v>34</v>
      </c>
    </row>
    <row r="59" spans="1:12" x14ac:dyDescent="0.25">
      <c r="A59" s="316">
        <v>4</v>
      </c>
      <c r="B59" s="287" t="s">
        <v>428</v>
      </c>
      <c r="C59" s="371">
        <f>+SUM(C60:C64)</f>
        <v>1900</v>
      </c>
      <c r="D59" s="371">
        <f>+SUM(D60:D64)</f>
        <v>0</v>
      </c>
      <c r="E59" s="371">
        <f>+SUM(E60:E64)</f>
        <v>40</v>
      </c>
      <c r="F59" s="371">
        <f>+SUM(F60:F64)</f>
        <v>0</v>
      </c>
      <c r="G59" s="371">
        <f>+SUM(G60:G64)</f>
        <v>1940</v>
      </c>
    </row>
    <row r="60" spans="1:12" x14ac:dyDescent="0.25">
      <c r="A60" s="399" t="s">
        <v>123</v>
      </c>
      <c r="B60" s="317" t="s">
        <v>137</v>
      </c>
      <c r="C60" s="372">
        <f>1637</f>
        <v>1637</v>
      </c>
      <c r="D60" s="372"/>
      <c r="E60" s="229"/>
      <c r="F60" s="229"/>
      <c r="G60" s="230">
        <f>D60+C60+E60-F60</f>
        <v>1637</v>
      </c>
    </row>
    <row r="61" spans="1:12" ht="31.5" x14ac:dyDescent="0.25">
      <c r="A61" s="399" t="s">
        <v>123</v>
      </c>
      <c r="B61" s="317" t="s">
        <v>134</v>
      </c>
      <c r="C61" s="372">
        <v>126</v>
      </c>
      <c r="D61" s="372"/>
      <c r="E61" s="229"/>
      <c r="F61" s="229"/>
      <c r="G61" s="230">
        <f>D61+C61+E61-F61</f>
        <v>126</v>
      </c>
    </row>
    <row r="62" spans="1:12" ht="63" x14ac:dyDescent="0.25">
      <c r="A62" s="399" t="s">
        <v>123</v>
      </c>
      <c r="B62" s="317" t="s">
        <v>193</v>
      </c>
      <c r="C62" s="372">
        <v>72</v>
      </c>
      <c r="D62" s="372"/>
      <c r="E62" s="229"/>
      <c r="F62" s="229"/>
      <c r="G62" s="230">
        <f>D62+C62+E62-F62</f>
        <v>72</v>
      </c>
      <c r="H62" s="79" t="e">
        <f>+#REF!-1665</f>
        <v>#REF!</v>
      </c>
    </row>
    <row r="63" spans="1:12" s="78" customFormat="1" ht="31.5" x14ac:dyDescent="0.25">
      <c r="A63" s="400" t="s">
        <v>123</v>
      </c>
      <c r="B63" s="317" t="s">
        <v>665</v>
      </c>
      <c r="C63" s="375"/>
      <c r="D63" s="375"/>
      <c r="E63" s="229">
        <v>40</v>
      </c>
      <c r="F63" s="229"/>
      <c r="G63" s="230">
        <f>D63+C63+E63-F63</f>
        <v>40</v>
      </c>
      <c r="H63" s="222"/>
    </row>
    <row r="64" spans="1:12" x14ac:dyDescent="0.25">
      <c r="A64" s="399" t="s">
        <v>123</v>
      </c>
      <c r="B64" s="317" t="s">
        <v>161</v>
      </c>
      <c r="C64" s="372">
        <v>65</v>
      </c>
      <c r="D64" s="372"/>
      <c r="E64" s="229"/>
      <c r="F64" s="229"/>
      <c r="G64" s="230">
        <f>D64+C64+E64-F64</f>
        <v>65</v>
      </c>
      <c r="H64" s="79">
        <f>1199.23+33.2</f>
        <v>1232.43</v>
      </c>
    </row>
    <row r="65" spans="1:12" x14ac:dyDescent="0.25">
      <c r="A65" s="378">
        <v>5</v>
      </c>
      <c r="B65" s="287" t="s">
        <v>258</v>
      </c>
      <c r="C65" s="371">
        <f>+SUM(C66:C70)</f>
        <v>0</v>
      </c>
      <c r="D65" s="371">
        <f>+SUM(D66:D70)</f>
        <v>0</v>
      </c>
      <c r="E65" s="371">
        <f>+SUM(E66:E70)</f>
        <v>1432.43</v>
      </c>
      <c r="F65" s="371">
        <f>+SUM(F66:F70)</f>
        <v>0</v>
      </c>
      <c r="G65" s="371">
        <f>+SUM(G66:G70)</f>
        <v>1432.43</v>
      </c>
      <c r="H65" s="224">
        <f>+G63</f>
        <v>40</v>
      </c>
    </row>
    <row r="66" spans="1:12" x14ac:dyDescent="0.25">
      <c r="A66" s="399" t="s">
        <v>123</v>
      </c>
      <c r="B66" s="317" t="s">
        <v>259</v>
      </c>
      <c r="C66" s="375"/>
      <c r="D66" s="375"/>
      <c r="E66" s="229">
        <f>1005+30.2+161-50-172.47</f>
        <v>973.73</v>
      </c>
      <c r="F66" s="229"/>
      <c r="G66" s="230">
        <f t="shared" ref="G66:G70" si="6">D66+C66+E66-F66</f>
        <v>973.73</v>
      </c>
      <c r="H66" s="79"/>
    </row>
    <row r="67" spans="1:12" ht="31.5" x14ac:dyDescent="0.25">
      <c r="A67" s="399" t="s">
        <v>123</v>
      </c>
      <c r="B67" s="317" t="s">
        <v>260</v>
      </c>
      <c r="C67" s="375"/>
      <c r="D67" s="375"/>
      <c r="E67" s="229">
        <f>131+4.5</f>
        <v>135.5</v>
      </c>
      <c r="F67" s="229"/>
      <c r="G67" s="230">
        <f t="shared" si="6"/>
        <v>135.5</v>
      </c>
      <c r="H67" s="79"/>
    </row>
    <row r="68" spans="1:12" x14ac:dyDescent="0.25">
      <c r="A68" s="399" t="s">
        <v>123</v>
      </c>
      <c r="B68" s="317" t="s">
        <v>261</v>
      </c>
      <c r="C68" s="375"/>
      <c r="D68" s="375"/>
      <c r="E68" s="229">
        <f>80+10</f>
        <v>90</v>
      </c>
      <c r="F68" s="229"/>
      <c r="G68" s="230">
        <f t="shared" si="6"/>
        <v>90</v>
      </c>
      <c r="H68" s="79"/>
    </row>
    <row r="69" spans="1:12" s="78" customFormat="1" ht="31.5" x14ac:dyDescent="0.25">
      <c r="A69" s="400" t="s">
        <v>123</v>
      </c>
      <c r="B69" s="318" t="s">
        <v>872</v>
      </c>
      <c r="C69" s="375"/>
      <c r="D69" s="375"/>
      <c r="E69" s="229">
        <v>200</v>
      </c>
      <c r="F69" s="229"/>
      <c r="G69" s="230">
        <f>D69+C69+E69-F69</f>
        <v>200</v>
      </c>
    </row>
    <row r="70" spans="1:12" ht="31.5" x14ac:dyDescent="0.25">
      <c r="A70" s="399" t="s">
        <v>123</v>
      </c>
      <c r="B70" s="317" t="s">
        <v>649</v>
      </c>
      <c r="C70" s="375"/>
      <c r="D70" s="375"/>
      <c r="E70" s="229">
        <v>33.200000000000003</v>
      </c>
      <c r="F70" s="229"/>
      <c r="G70" s="230">
        <f t="shared" si="6"/>
        <v>33.200000000000003</v>
      </c>
    </row>
    <row r="71" spans="1:12" ht="31.5" x14ac:dyDescent="0.25">
      <c r="A71" s="316" t="s">
        <v>3</v>
      </c>
      <c r="B71" s="287" t="s">
        <v>138</v>
      </c>
      <c r="C71" s="371">
        <f>+SUM(C72:C87)</f>
        <v>7127.08</v>
      </c>
      <c r="D71" s="371">
        <f>+SUM(D72:D87)</f>
        <v>0</v>
      </c>
      <c r="E71" s="371">
        <f>+SUM(E72:E87)</f>
        <v>1277</v>
      </c>
      <c r="F71" s="371">
        <f>+SUM(F72:F87)</f>
        <v>150</v>
      </c>
      <c r="G71" s="371">
        <f>+SUM(G72:G87)</f>
        <v>8254.08</v>
      </c>
    </row>
    <row r="72" spans="1:12" x14ac:dyDescent="0.25">
      <c r="A72" s="399" t="s">
        <v>123</v>
      </c>
      <c r="B72" s="317" t="s">
        <v>137</v>
      </c>
      <c r="C72" s="372">
        <v>5299.2</v>
      </c>
      <c r="D72" s="372"/>
      <c r="E72" s="229"/>
      <c r="F72" s="229">
        <f>150</f>
        <v>150</v>
      </c>
      <c r="G72" s="230">
        <f t="shared" ref="G72:G87" si="7">D72+C72+E72-F72</f>
        <v>5149.2</v>
      </c>
    </row>
    <row r="73" spans="1:12" ht="31.5" x14ac:dyDescent="0.25">
      <c r="A73" s="399" t="s">
        <v>123</v>
      </c>
      <c r="B73" s="317" t="s">
        <v>134</v>
      </c>
      <c r="C73" s="372">
        <v>380</v>
      </c>
      <c r="D73" s="372"/>
      <c r="E73" s="229"/>
      <c r="F73" s="229"/>
      <c r="G73" s="230">
        <f t="shared" si="7"/>
        <v>380</v>
      </c>
    </row>
    <row r="74" spans="1:12" ht="47.25" x14ac:dyDescent="0.25">
      <c r="A74" s="399" t="s">
        <v>123</v>
      </c>
      <c r="B74" s="318" t="s">
        <v>423</v>
      </c>
      <c r="C74" s="372"/>
      <c r="D74" s="372"/>
      <c r="E74" s="229">
        <v>60</v>
      </c>
      <c r="F74" s="229"/>
      <c r="G74" s="230">
        <f t="shared" si="7"/>
        <v>60</v>
      </c>
    </row>
    <row r="75" spans="1:12" ht="47.25" x14ac:dyDescent="0.25">
      <c r="A75" s="399" t="s">
        <v>123</v>
      </c>
      <c r="B75" s="318" t="s">
        <v>194</v>
      </c>
      <c r="C75" s="372">
        <v>278</v>
      </c>
      <c r="D75" s="372"/>
      <c r="E75" s="229"/>
      <c r="F75" s="229"/>
      <c r="G75" s="230">
        <f t="shared" si="7"/>
        <v>278</v>
      </c>
    </row>
    <row r="76" spans="1:12" x14ac:dyDescent="0.25">
      <c r="A76" s="399" t="s">
        <v>123</v>
      </c>
      <c r="B76" s="317" t="s">
        <v>195</v>
      </c>
      <c r="C76" s="372">
        <v>100</v>
      </c>
      <c r="D76" s="372"/>
      <c r="E76" s="229"/>
      <c r="F76" s="229"/>
      <c r="G76" s="230">
        <f t="shared" si="7"/>
        <v>100</v>
      </c>
    </row>
    <row r="77" spans="1:12" s="80" customFormat="1" ht="31.5" x14ac:dyDescent="0.25">
      <c r="A77" s="399" t="s">
        <v>123</v>
      </c>
      <c r="B77" s="318" t="s">
        <v>652</v>
      </c>
      <c r="C77" s="372"/>
      <c r="D77" s="372"/>
      <c r="E77" s="229">
        <v>100</v>
      </c>
      <c r="F77" s="229"/>
      <c r="G77" s="230">
        <f t="shared" si="7"/>
        <v>100</v>
      </c>
      <c r="H77"/>
      <c r="I77"/>
      <c r="J77"/>
      <c r="K77"/>
      <c r="L77"/>
    </row>
    <row r="78" spans="1:12" ht="31.5" x14ac:dyDescent="0.25">
      <c r="A78" s="399" t="s">
        <v>123</v>
      </c>
      <c r="B78" s="318" t="s">
        <v>653</v>
      </c>
      <c r="C78" s="372"/>
      <c r="D78" s="372"/>
      <c r="E78" s="229">
        <v>50</v>
      </c>
      <c r="F78" s="229"/>
      <c r="G78" s="230">
        <f t="shared" si="7"/>
        <v>50</v>
      </c>
    </row>
    <row r="79" spans="1:12" ht="31.5" x14ac:dyDescent="0.25">
      <c r="A79" s="399" t="s">
        <v>123</v>
      </c>
      <c r="B79" s="318" t="s">
        <v>425</v>
      </c>
      <c r="C79" s="372"/>
      <c r="D79" s="372"/>
      <c r="E79" s="229">
        <v>847</v>
      </c>
      <c r="F79" s="229"/>
      <c r="G79" s="230">
        <f t="shared" si="7"/>
        <v>847</v>
      </c>
    </row>
    <row r="80" spans="1:12" ht="31.5" x14ac:dyDescent="0.25">
      <c r="A80" s="400"/>
      <c r="B80" s="289" t="s">
        <v>681</v>
      </c>
      <c r="C80" s="375"/>
      <c r="D80" s="375"/>
      <c r="E80" s="229">
        <v>130</v>
      </c>
      <c r="F80" s="229"/>
      <c r="G80" s="230">
        <f>D80+C80+E80-F80</f>
        <v>130</v>
      </c>
    </row>
    <row r="81" spans="1:12" ht="47.25" x14ac:dyDescent="0.25">
      <c r="A81" s="400"/>
      <c r="B81" s="318" t="s">
        <v>658</v>
      </c>
      <c r="C81" s="375"/>
      <c r="D81" s="375"/>
      <c r="E81" s="229">
        <v>90</v>
      </c>
      <c r="F81" s="229"/>
      <c r="G81" s="230">
        <f>D81+C81+E81-F81</f>
        <v>90</v>
      </c>
    </row>
    <row r="82" spans="1:12" ht="47.25" x14ac:dyDescent="0.25">
      <c r="A82" s="399" t="s">
        <v>123</v>
      </c>
      <c r="B82" s="318" t="s">
        <v>196</v>
      </c>
      <c r="C82" s="372">
        <v>443</v>
      </c>
      <c r="D82" s="372"/>
      <c r="E82" s="375"/>
      <c r="F82" s="375"/>
      <c r="G82" s="230">
        <f t="shared" si="7"/>
        <v>443</v>
      </c>
    </row>
    <row r="83" spans="1:12" ht="47.25" x14ac:dyDescent="0.25">
      <c r="A83" s="399" t="s">
        <v>123</v>
      </c>
      <c r="B83" s="318" t="s">
        <v>197</v>
      </c>
      <c r="C83" s="372">
        <v>30</v>
      </c>
      <c r="D83" s="372"/>
      <c r="E83" s="375"/>
      <c r="F83" s="375"/>
      <c r="G83" s="230">
        <f t="shared" si="7"/>
        <v>30</v>
      </c>
    </row>
    <row r="84" spans="1:12" s="78" customFormat="1" ht="63" x14ac:dyDescent="0.25">
      <c r="A84" s="399" t="s">
        <v>123</v>
      </c>
      <c r="B84" s="318" t="s">
        <v>198</v>
      </c>
      <c r="C84" s="372">
        <v>216.56</v>
      </c>
      <c r="D84" s="372"/>
      <c r="E84" s="375"/>
      <c r="F84" s="375"/>
      <c r="G84" s="230">
        <f t="shared" si="7"/>
        <v>216.56</v>
      </c>
      <c r="H84" s="371">
        <f t="shared" ref="H84" si="8">+SUM(H85:H97)</f>
        <v>0</v>
      </c>
    </row>
    <row r="85" spans="1:12" ht="63" x14ac:dyDescent="0.25">
      <c r="A85" s="399" t="s">
        <v>123</v>
      </c>
      <c r="B85" s="318" t="s">
        <v>199</v>
      </c>
      <c r="C85" s="372">
        <v>112.32</v>
      </c>
      <c r="D85" s="372"/>
      <c r="E85" s="229"/>
      <c r="F85" s="229"/>
      <c r="G85" s="230">
        <f t="shared" si="7"/>
        <v>112.32</v>
      </c>
    </row>
    <row r="86" spans="1:12" ht="47.25" x14ac:dyDescent="0.25">
      <c r="A86" s="399" t="s">
        <v>123</v>
      </c>
      <c r="B86" s="318" t="s">
        <v>200</v>
      </c>
      <c r="C86" s="372">
        <v>75</v>
      </c>
      <c r="D86" s="372"/>
      <c r="E86" s="229"/>
      <c r="F86" s="229"/>
      <c r="G86" s="230">
        <f t="shared" si="7"/>
        <v>75</v>
      </c>
    </row>
    <row r="87" spans="1:12" s="80" customFormat="1" x14ac:dyDescent="0.25">
      <c r="A87" s="399" t="s">
        <v>123</v>
      </c>
      <c r="B87" s="317" t="s">
        <v>161</v>
      </c>
      <c r="C87" s="372">
        <v>193</v>
      </c>
      <c r="D87" s="372"/>
      <c r="E87" s="229"/>
      <c r="F87" s="229"/>
      <c r="G87" s="230">
        <f t="shared" si="7"/>
        <v>193</v>
      </c>
      <c r="H87"/>
      <c r="I87"/>
      <c r="J87"/>
      <c r="K87"/>
      <c r="L87"/>
    </row>
    <row r="88" spans="1:12" ht="31.5" x14ac:dyDescent="0.25">
      <c r="A88" s="316" t="s">
        <v>4</v>
      </c>
      <c r="B88" s="287" t="s">
        <v>201</v>
      </c>
      <c r="C88" s="371">
        <f>+SUM(C89:C101)</f>
        <v>4141</v>
      </c>
      <c r="D88" s="371">
        <f>+SUM(D89:D101)</f>
        <v>8.02</v>
      </c>
      <c r="E88" s="371">
        <f>+SUM(E89:E101)</f>
        <v>0</v>
      </c>
      <c r="F88" s="371">
        <f>+SUM(F89:F101)</f>
        <v>847</v>
      </c>
      <c r="G88" s="371">
        <f>+SUM(G89:G101)</f>
        <v>3302.02</v>
      </c>
    </row>
    <row r="89" spans="1:12" ht="31.5" x14ac:dyDescent="0.25">
      <c r="A89" s="399" t="s">
        <v>123</v>
      </c>
      <c r="B89" s="317" t="s">
        <v>139</v>
      </c>
      <c r="C89" s="372">
        <v>1713</v>
      </c>
      <c r="D89" s="372">
        <v>8.02</v>
      </c>
      <c r="E89" s="229"/>
      <c r="F89" s="229"/>
      <c r="G89" s="230">
        <f t="shared" ref="G89:G101" si="9">D89+C89+E89-F89</f>
        <v>1721.02</v>
      </c>
    </row>
    <row r="90" spans="1:12" x14ac:dyDescent="0.25">
      <c r="A90" s="399" t="s">
        <v>123</v>
      </c>
      <c r="B90" s="317" t="s">
        <v>140</v>
      </c>
      <c r="C90" s="372">
        <v>160</v>
      </c>
      <c r="D90" s="372"/>
      <c r="E90" s="229"/>
      <c r="F90" s="229"/>
      <c r="G90" s="230">
        <f t="shared" si="9"/>
        <v>160</v>
      </c>
    </row>
    <row r="91" spans="1:12" x14ac:dyDescent="0.25">
      <c r="A91" s="399" t="s">
        <v>123</v>
      </c>
      <c r="B91" s="317" t="s">
        <v>164</v>
      </c>
      <c r="C91" s="372">
        <v>1574</v>
      </c>
      <c r="D91" s="372"/>
      <c r="E91" s="229"/>
      <c r="F91" s="229">
        <v>847</v>
      </c>
      <c r="G91" s="230">
        <f t="shared" si="9"/>
        <v>727</v>
      </c>
    </row>
    <row r="92" spans="1:12" ht="63" x14ac:dyDescent="0.25">
      <c r="A92" s="399" t="s">
        <v>123</v>
      </c>
      <c r="B92" s="376" t="s">
        <v>141</v>
      </c>
      <c r="C92" s="372">
        <v>300</v>
      </c>
      <c r="D92" s="372"/>
      <c r="E92" s="229"/>
      <c r="F92" s="229"/>
      <c r="G92" s="230">
        <f t="shared" si="9"/>
        <v>300</v>
      </c>
    </row>
    <row r="93" spans="1:12" x14ac:dyDescent="0.25">
      <c r="A93" s="399" t="s">
        <v>123</v>
      </c>
      <c r="B93" s="317" t="s">
        <v>202</v>
      </c>
      <c r="C93" s="372">
        <v>100</v>
      </c>
      <c r="D93" s="372"/>
      <c r="E93" s="229"/>
      <c r="F93" s="229"/>
      <c r="G93" s="230">
        <f t="shared" si="9"/>
        <v>100</v>
      </c>
    </row>
    <row r="94" spans="1:12" ht="47.25" x14ac:dyDescent="0.25">
      <c r="A94" s="399" t="s">
        <v>123</v>
      </c>
      <c r="B94" s="376" t="s">
        <v>142</v>
      </c>
      <c r="C94" s="372">
        <v>10</v>
      </c>
      <c r="D94" s="372"/>
      <c r="E94" s="229"/>
      <c r="F94" s="229"/>
      <c r="G94" s="230">
        <f t="shared" si="9"/>
        <v>10</v>
      </c>
    </row>
    <row r="95" spans="1:12" ht="31.5" x14ac:dyDescent="0.25">
      <c r="A95" s="399" t="s">
        <v>123</v>
      </c>
      <c r="B95" s="376" t="s">
        <v>143</v>
      </c>
      <c r="C95" s="372">
        <v>5</v>
      </c>
      <c r="D95" s="372"/>
      <c r="E95" s="229"/>
      <c r="F95" s="229"/>
      <c r="G95" s="230">
        <f t="shared" si="9"/>
        <v>5</v>
      </c>
    </row>
    <row r="96" spans="1:12" ht="31.5" x14ac:dyDescent="0.25">
      <c r="A96" s="399" t="s">
        <v>123</v>
      </c>
      <c r="B96" s="376" t="s">
        <v>144</v>
      </c>
      <c r="C96" s="372">
        <v>140</v>
      </c>
      <c r="D96" s="372"/>
      <c r="E96" s="229"/>
      <c r="F96" s="229"/>
      <c r="G96" s="230">
        <f t="shared" si="9"/>
        <v>140</v>
      </c>
    </row>
    <row r="97" spans="1:12" x14ac:dyDescent="0.25">
      <c r="A97" s="399" t="s">
        <v>123</v>
      </c>
      <c r="B97" s="318" t="s">
        <v>666</v>
      </c>
      <c r="C97" s="372">
        <v>15</v>
      </c>
      <c r="D97" s="372"/>
      <c r="E97" s="229"/>
      <c r="F97" s="229"/>
      <c r="G97" s="230">
        <f t="shared" si="9"/>
        <v>15</v>
      </c>
    </row>
    <row r="98" spans="1:12" s="78" customFormat="1" ht="47.25" x14ac:dyDescent="0.25">
      <c r="A98" s="399" t="s">
        <v>123</v>
      </c>
      <c r="B98" s="376" t="s">
        <v>203</v>
      </c>
      <c r="C98" s="372">
        <v>15</v>
      </c>
      <c r="D98" s="372"/>
      <c r="E98" s="229"/>
      <c r="F98" s="229"/>
      <c r="G98" s="230">
        <f t="shared" si="9"/>
        <v>15</v>
      </c>
    </row>
    <row r="99" spans="1:12" s="78" customFormat="1" x14ac:dyDescent="0.25">
      <c r="A99" s="399" t="s">
        <v>123</v>
      </c>
      <c r="B99" s="318" t="s">
        <v>204</v>
      </c>
      <c r="C99" s="372">
        <v>15</v>
      </c>
      <c r="D99" s="372"/>
      <c r="E99" s="375"/>
      <c r="F99" s="375"/>
      <c r="G99" s="230">
        <f t="shared" si="9"/>
        <v>15</v>
      </c>
    </row>
    <row r="100" spans="1:12" x14ac:dyDescent="0.25">
      <c r="A100" s="399" t="s">
        <v>123</v>
      </c>
      <c r="B100" s="318" t="s">
        <v>205</v>
      </c>
      <c r="C100" s="372">
        <v>15</v>
      </c>
      <c r="D100" s="372"/>
      <c r="E100" s="229"/>
      <c r="F100" s="229"/>
      <c r="G100" s="230">
        <f t="shared" si="9"/>
        <v>15</v>
      </c>
    </row>
    <row r="101" spans="1:12" x14ac:dyDescent="0.25">
      <c r="A101" s="399" t="s">
        <v>123</v>
      </c>
      <c r="B101" s="317" t="s">
        <v>161</v>
      </c>
      <c r="C101" s="372">
        <v>79</v>
      </c>
      <c r="D101" s="372"/>
      <c r="E101" s="229"/>
      <c r="F101" s="229"/>
      <c r="G101" s="230">
        <f t="shared" si="9"/>
        <v>79</v>
      </c>
    </row>
    <row r="102" spans="1:12" ht="31.5" x14ac:dyDescent="0.25">
      <c r="A102" s="316" t="s">
        <v>5</v>
      </c>
      <c r="B102" s="287" t="s">
        <v>206</v>
      </c>
      <c r="C102" s="371">
        <f>+C103+C109</f>
        <v>426.23199999999997</v>
      </c>
      <c r="D102" s="371">
        <f>+D103+D109</f>
        <v>0</v>
      </c>
      <c r="E102" s="371">
        <f t="shared" ref="E102:G102" si="10">+E103+E109</f>
        <v>0</v>
      </c>
      <c r="F102" s="371">
        <f t="shared" si="10"/>
        <v>0</v>
      </c>
      <c r="G102" s="371">
        <f t="shared" si="10"/>
        <v>426.23199999999997</v>
      </c>
    </row>
    <row r="103" spans="1:12" x14ac:dyDescent="0.25">
      <c r="A103" s="316">
        <v>1</v>
      </c>
      <c r="B103" s="287" t="s">
        <v>170</v>
      </c>
      <c r="C103" s="371">
        <f>+SUM(C104:C108)</f>
        <v>415</v>
      </c>
      <c r="D103" s="371">
        <f t="shared" ref="D103:G103" si="11">+SUM(D104:D108)</f>
        <v>0</v>
      </c>
      <c r="E103" s="371">
        <f t="shared" si="11"/>
        <v>0</v>
      </c>
      <c r="F103" s="371">
        <f t="shared" si="11"/>
        <v>0</v>
      </c>
      <c r="G103" s="371">
        <f t="shared" si="11"/>
        <v>415</v>
      </c>
    </row>
    <row r="104" spans="1:12" ht="47.25" x14ac:dyDescent="0.25">
      <c r="A104" s="398" t="s">
        <v>123</v>
      </c>
      <c r="B104" s="318" t="s">
        <v>207</v>
      </c>
      <c r="C104" s="372">
        <v>10</v>
      </c>
      <c r="D104" s="372"/>
      <c r="E104" s="229"/>
      <c r="F104" s="229"/>
      <c r="G104" s="230">
        <f>D104+C104+E104-F104</f>
        <v>10</v>
      </c>
    </row>
    <row r="105" spans="1:12" s="78" customFormat="1" ht="31.5" x14ac:dyDescent="0.25">
      <c r="A105" s="398" t="s">
        <v>123</v>
      </c>
      <c r="B105" s="318" t="s">
        <v>208</v>
      </c>
      <c r="C105" s="372">
        <v>100</v>
      </c>
      <c r="D105" s="372"/>
      <c r="E105" s="375"/>
      <c r="F105" s="375"/>
      <c r="G105" s="230">
        <f>D105+C105+E105-F105</f>
        <v>100</v>
      </c>
    </row>
    <row r="106" spans="1:12" ht="31.5" x14ac:dyDescent="0.25">
      <c r="A106" s="398" t="s">
        <v>123</v>
      </c>
      <c r="B106" s="376" t="s">
        <v>209</v>
      </c>
      <c r="C106" s="372">
        <v>15</v>
      </c>
      <c r="D106" s="372"/>
      <c r="E106" s="229"/>
      <c r="F106" s="229"/>
      <c r="G106" s="230">
        <f>D106+C106+E106-F106</f>
        <v>15</v>
      </c>
    </row>
    <row r="107" spans="1:12" s="80" customFormat="1" ht="47.25" x14ac:dyDescent="0.25">
      <c r="A107" s="398" t="s">
        <v>123</v>
      </c>
      <c r="B107" s="376" t="s">
        <v>146</v>
      </c>
      <c r="C107" s="372">
        <v>265</v>
      </c>
      <c r="D107" s="372"/>
      <c r="E107" s="229"/>
      <c r="F107" s="229"/>
      <c r="G107" s="230">
        <f>D107+C107+E107-F107</f>
        <v>265</v>
      </c>
      <c r="H107" s="79" t="e">
        <f>+#REF!+D107</f>
        <v>#REF!</v>
      </c>
      <c r="I107"/>
      <c r="J107"/>
      <c r="K107"/>
      <c r="L107"/>
    </row>
    <row r="108" spans="1:12" s="80" customFormat="1" ht="47.25" x14ac:dyDescent="0.25">
      <c r="A108" s="398" t="s">
        <v>123</v>
      </c>
      <c r="B108" s="376" t="s">
        <v>145</v>
      </c>
      <c r="C108" s="372">
        <v>25</v>
      </c>
      <c r="D108" s="372"/>
      <c r="E108" s="229"/>
      <c r="F108" s="229"/>
      <c r="G108" s="230">
        <f>D108+C108+E108-F108</f>
        <v>25</v>
      </c>
      <c r="H108" s="401">
        <f>+C108+D108-G108</f>
        <v>0</v>
      </c>
      <c r="I108"/>
      <c r="J108"/>
      <c r="K108"/>
      <c r="L108"/>
    </row>
    <row r="109" spans="1:12" s="80" customFormat="1" x14ac:dyDescent="0.25">
      <c r="A109" s="316">
        <v>2</v>
      </c>
      <c r="B109" s="287" t="s">
        <v>185</v>
      </c>
      <c r="C109" s="371">
        <f>+C110</f>
        <v>11.231999999999999</v>
      </c>
      <c r="D109" s="371"/>
      <c r="E109" s="371">
        <f t="shared" ref="E109:F109" si="12">+E110</f>
        <v>0</v>
      </c>
      <c r="F109" s="371">
        <f t="shared" si="12"/>
        <v>0</v>
      </c>
      <c r="G109" s="227">
        <f>+G110</f>
        <v>11.231999999999999</v>
      </c>
      <c r="H109"/>
      <c r="I109"/>
      <c r="J109"/>
      <c r="K109"/>
      <c r="L109"/>
    </row>
    <row r="110" spans="1:12" s="80" customFormat="1" x14ac:dyDescent="0.25">
      <c r="A110" s="399" t="s">
        <v>123</v>
      </c>
      <c r="B110" s="317" t="s">
        <v>147</v>
      </c>
      <c r="C110" s="372">
        <v>11.231999999999999</v>
      </c>
      <c r="D110" s="372"/>
      <c r="E110" s="229"/>
      <c r="F110" s="229"/>
      <c r="G110" s="227">
        <f>D110+C110+E110-F110</f>
        <v>11.231999999999999</v>
      </c>
      <c r="H110"/>
      <c r="I110" s="79"/>
      <c r="J110"/>
      <c r="K110"/>
      <c r="L110"/>
    </row>
    <row r="111" spans="1:12" s="80" customFormat="1" x14ac:dyDescent="0.25">
      <c r="A111" s="316" t="s">
        <v>6</v>
      </c>
      <c r="B111" s="287" t="s">
        <v>210</v>
      </c>
      <c r="C111" s="226">
        <f>+SUM(C112:C127)</f>
        <v>102322.5</v>
      </c>
      <c r="D111" s="226">
        <f>+SUM(D112:D127)</f>
        <v>5656.4400000000005</v>
      </c>
      <c r="E111" s="226">
        <f>+SUM(E112:E127)</f>
        <v>28792.15</v>
      </c>
      <c r="F111" s="226">
        <f>+SUM(F112:F127)</f>
        <v>28764.149999999998</v>
      </c>
      <c r="G111" s="226">
        <f>+SUM(G112:G127)</f>
        <v>108006.94</v>
      </c>
      <c r="H111"/>
      <c r="I111"/>
      <c r="J111"/>
      <c r="K111"/>
      <c r="L111"/>
    </row>
    <row r="112" spans="1:12" s="80" customFormat="1" x14ac:dyDescent="0.25">
      <c r="A112" s="398">
        <v>1</v>
      </c>
      <c r="B112" s="379" t="s">
        <v>148</v>
      </c>
      <c r="C112" s="319">
        <v>8897</v>
      </c>
      <c r="D112" s="319">
        <v>510.2</v>
      </c>
      <c r="E112" s="229"/>
      <c r="F112" s="229">
        <v>8055.5</v>
      </c>
      <c r="G112" s="230">
        <f>D112+C112+E112-F112</f>
        <v>1351.7000000000007</v>
      </c>
      <c r="H112" s="380">
        <v>1351638353</v>
      </c>
      <c r="I112"/>
      <c r="J112"/>
      <c r="K112"/>
      <c r="L112"/>
    </row>
    <row r="113" spans="1:12" s="80" customFormat="1" x14ac:dyDescent="0.25">
      <c r="A113" s="398">
        <v>2</v>
      </c>
      <c r="B113" s="379" t="s">
        <v>149</v>
      </c>
      <c r="C113" s="319">
        <v>7903</v>
      </c>
      <c r="D113" s="319"/>
      <c r="E113" s="229"/>
      <c r="F113" s="229">
        <f>6716+23</f>
        <v>6739</v>
      </c>
      <c r="G113" s="230">
        <f t="shared" ref="G113:G127" si="13">D113+C113+E113-F113</f>
        <v>1164</v>
      </c>
      <c r="H113" s="380">
        <v>1163694971</v>
      </c>
      <c r="I113"/>
      <c r="J113"/>
      <c r="K113"/>
      <c r="L113"/>
    </row>
    <row r="114" spans="1:12" s="80" customFormat="1" x14ac:dyDescent="0.25">
      <c r="A114" s="398">
        <v>3</v>
      </c>
      <c r="B114" s="379" t="s">
        <v>150</v>
      </c>
      <c r="C114" s="319">
        <v>10971</v>
      </c>
      <c r="D114" s="319">
        <v>387.25</v>
      </c>
      <c r="E114" s="229"/>
      <c r="F114" s="229"/>
      <c r="G114" s="230">
        <f t="shared" si="13"/>
        <v>11358.25</v>
      </c>
      <c r="H114">
        <v>1164</v>
      </c>
      <c r="I114"/>
      <c r="J114"/>
      <c r="K114"/>
      <c r="L114"/>
    </row>
    <row r="115" spans="1:12" s="80" customFormat="1" x14ac:dyDescent="0.25">
      <c r="A115" s="398">
        <v>4</v>
      </c>
      <c r="B115" s="379" t="s">
        <v>151</v>
      </c>
      <c r="C115" s="319">
        <v>8081</v>
      </c>
      <c r="D115" s="319">
        <v>216</v>
      </c>
      <c r="E115" s="229"/>
      <c r="F115" s="229"/>
      <c r="G115" s="230">
        <f t="shared" si="13"/>
        <v>8297</v>
      </c>
      <c r="H115" s="79">
        <f>+G113-H114</f>
        <v>0</v>
      </c>
      <c r="I115"/>
      <c r="J115"/>
      <c r="K115"/>
      <c r="L115"/>
    </row>
    <row r="116" spans="1:12" s="80" customFormat="1" x14ac:dyDescent="0.25">
      <c r="A116" s="398">
        <v>5</v>
      </c>
      <c r="B116" s="379" t="s">
        <v>152</v>
      </c>
      <c r="C116" s="319">
        <v>14816</v>
      </c>
      <c r="D116" s="319">
        <v>156.69999999999999</v>
      </c>
      <c r="E116" s="375">
        <v>11</v>
      </c>
      <c r="F116" s="375"/>
      <c r="G116" s="230">
        <f t="shared" si="13"/>
        <v>14983.7</v>
      </c>
      <c r="H116"/>
      <c r="I116"/>
      <c r="J116"/>
      <c r="K116"/>
      <c r="L116"/>
    </row>
    <row r="117" spans="1:12" s="80" customFormat="1" x14ac:dyDescent="0.25">
      <c r="A117" s="398">
        <v>6</v>
      </c>
      <c r="B117" s="379" t="s">
        <v>153</v>
      </c>
      <c r="C117" s="319">
        <v>9524</v>
      </c>
      <c r="D117" s="319">
        <v>1710.5</v>
      </c>
      <c r="E117" s="229">
        <f>2+28</f>
        <v>30</v>
      </c>
      <c r="F117" s="229"/>
      <c r="G117" s="230">
        <f t="shared" si="13"/>
        <v>11264.5</v>
      </c>
      <c r="H117" s="402"/>
      <c r="I117"/>
      <c r="J117"/>
      <c r="K117"/>
      <c r="L117"/>
    </row>
    <row r="118" spans="1:12" s="80" customFormat="1" x14ac:dyDescent="0.25">
      <c r="A118" s="398">
        <v>7</v>
      </c>
      <c r="B118" s="379" t="s">
        <v>211</v>
      </c>
      <c r="C118" s="319">
        <v>8158.5</v>
      </c>
      <c r="D118" s="319">
        <v>407.6</v>
      </c>
      <c r="E118" s="229"/>
      <c r="F118" s="229"/>
      <c r="G118" s="230">
        <f t="shared" si="13"/>
        <v>8566.1</v>
      </c>
      <c r="H118"/>
      <c r="I118"/>
      <c r="J118"/>
      <c r="K118"/>
      <c r="L118"/>
    </row>
    <row r="119" spans="1:12" s="80" customFormat="1" x14ac:dyDescent="0.25">
      <c r="A119" s="398">
        <v>8</v>
      </c>
      <c r="B119" s="379" t="s">
        <v>154</v>
      </c>
      <c r="C119" s="319">
        <v>7698</v>
      </c>
      <c r="D119" s="319">
        <v>708.39</v>
      </c>
      <c r="E119" s="229"/>
      <c r="F119" s="229"/>
      <c r="G119" s="230">
        <f t="shared" si="13"/>
        <v>8406.39</v>
      </c>
      <c r="H119" s="402"/>
      <c r="I119"/>
      <c r="J119"/>
      <c r="K119"/>
      <c r="L119"/>
    </row>
    <row r="120" spans="1:12" s="80" customFormat="1" x14ac:dyDescent="0.25">
      <c r="A120" s="398">
        <v>9</v>
      </c>
      <c r="B120" s="379" t="s">
        <v>155</v>
      </c>
      <c r="C120" s="319">
        <v>9327</v>
      </c>
      <c r="D120" s="319">
        <v>42</v>
      </c>
      <c r="E120" s="229">
        <f>3+65</f>
        <v>68</v>
      </c>
      <c r="F120" s="229"/>
      <c r="G120" s="230">
        <f t="shared" si="13"/>
        <v>9437</v>
      </c>
      <c r="H120"/>
      <c r="I120"/>
      <c r="J120"/>
      <c r="K120"/>
      <c r="L120"/>
    </row>
    <row r="121" spans="1:12" s="80" customFormat="1" x14ac:dyDescent="0.25">
      <c r="A121" s="398">
        <v>10</v>
      </c>
      <c r="B121" s="379" t="s">
        <v>156</v>
      </c>
      <c r="C121" s="319">
        <v>7782</v>
      </c>
      <c r="D121" s="319">
        <v>752.3</v>
      </c>
      <c r="E121" s="229"/>
      <c r="F121" s="229">
        <v>7394.92</v>
      </c>
      <c r="G121" s="230">
        <f t="shared" si="13"/>
        <v>1139.3799999999992</v>
      </c>
      <c r="H121" s="380">
        <v>1139382564</v>
      </c>
      <c r="I121"/>
      <c r="J121"/>
      <c r="K121"/>
      <c r="L121"/>
    </row>
    <row r="122" spans="1:12" x14ac:dyDescent="0.25">
      <c r="A122" s="398">
        <v>11</v>
      </c>
      <c r="B122" s="379" t="s">
        <v>157</v>
      </c>
      <c r="C122" s="319">
        <v>6685</v>
      </c>
      <c r="D122" s="319">
        <v>765.5</v>
      </c>
      <c r="E122" s="229"/>
      <c r="F122" s="229">
        <v>6477.73</v>
      </c>
      <c r="G122" s="230">
        <f t="shared" si="13"/>
        <v>972.77000000000044</v>
      </c>
      <c r="H122" s="380">
        <v>972773708</v>
      </c>
    </row>
    <row r="123" spans="1:12" s="80" customFormat="1" ht="31.5" x14ac:dyDescent="0.25">
      <c r="A123" s="398">
        <v>12</v>
      </c>
      <c r="B123" s="379" t="s">
        <v>850</v>
      </c>
      <c r="C123" s="319"/>
      <c r="D123" s="319"/>
      <c r="E123" s="229">
        <f>+F112+F113+3</f>
        <v>14797.5</v>
      </c>
      <c r="F123" s="229"/>
      <c r="G123" s="230">
        <f t="shared" si="13"/>
        <v>14797.5</v>
      </c>
      <c r="H123"/>
      <c r="I123"/>
      <c r="J123"/>
      <c r="K123"/>
      <c r="L123"/>
    </row>
    <row r="124" spans="1:12" s="78" customFormat="1" ht="31.5" x14ac:dyDescent="0.25">
      <c r="A124" s="398">
        <v>13</v>
      </c>
      <c r="B124" s="379" t="s">
        <v>851</v>
      </c>
      <c r="C124" s="319"/>
      <c r="D124" s="319"/>
      <c r="E124" s="229">
        <f>+F121+F122+5</f>
        <v>13877.65</v>
      </c>
      <c r="F124" s="229">
        <v>65</v>
      </c>
      <c r="G124" s="230">
        <f t="shared" si="13"/>
        <v>13812.65</v>
      </c>
      <c r="H124" s="222">
        <f>+C111+D111+28</f>
        <v>108006.94</v>
      </c>
    </row>
    <row r="125" spans="1:12" s="78" customFormat="1" x14ac:dyDescent="0.25">
      <c r="A125" s="398">
        <v>14</v>
      </c>
      <c r="B125" s="379" t="s">
        <v>860</v>
      </c>
      <c r="C125" s="319"/>
      <c r="D125" s="319"/>
      <c r="E125" s="229">
        <v>8</v>
      </c>
      <c r="F125" s="229"/>
      <c r="G125" s="230">
        <f t="shared" si="13"/>
        <v>8</v>
      </c>
      <c r="H125" s="381">
        <f>+C111+C243</f>
        <v>118831.1</v>
      </c>
    </row>
    <row r="126" spans="1:12" s="78" customFormat="1" ht="63" x14ac:dyDescent="0.25">
      <c r="A126" s="398" t="s">
        <v>123</v>
      </c>
      <c r="B126" s="379" t="s">
        <v>852</v>
      </c>
      <c r="C126" s="319">
        <v>2013</v>
      </c>
      <c r="D126" s="319"/>
      <c r="E126" s="375"/>
      <c r="F126" s="375"/>
      <c r="G126" s="230">
        <f t="shared" si="13"/>
        <v>2013</v>
      </c>
      <c r="H126" s="381">
        <f>+G111+G243</f>
        <v>124593.658</v>
      </c>
    </row>
    <row r="127" spans="1:12" ht="31.5" x14ac:dyDescent="0.25">
      <c r="A127" s="398" t="s">
        <v>123</v>
      </c>
      <c r="B127" s="379" t="s">
        <v>853</v>
      </c>
      <c r="C127" s="319">
        <v>467</v>
      </c>
      <c r="D127" s="319"/>
      <c r="E127" s="229"/>
      <c r="F127" s="229">
        <f>32</f>
        <v>32</v>
      </c>
      <c r="G127" s="230">
        <f t="shared" si="13"/>
        <v>435</v>
      </c>
      <c r="H127" s="221">
        <f>+H126-H125</f>
        <v>5762.55799999999</v>
      </c>
    </row>
    <row r="128" spans="1:12" x14ac:dyDescent="0.25">
      <c r="A128" s="316" t="s">
        <v>277</v>
      </c>
      <c r="B128" s="320" t="s">
        <v>165</v>
      </c>
      <c r="C128" s="371">
        <f>+C130+C129</f>
        <v>5762.3845600000004</v>
      </c>
      <c r="D128" s="371">
        <f t="shared" ref="D128:G128" si="14">+D130+D129</f>
        <v>90.97</v>
      </c>
      <c r="E128" s="371">
        <f t="shared" si="14"/>
        <v>159.45699999999999</v>
      </c>
      <c r="F128" s="371">
        <f t="shared" si="14"/>
        <v>159.45699999999999</v>
      </c>
      <c r="G128" s="371">
        <f t="shared" si="14"/>
        <v>5853.3545600000007</v>
      </c>
    </row>
    <row r="129" spans="1:12" ht="31.5" x14ac:dyDescent="0.25">
      <c r="A129" s="316"/>
      <c r="B129" s="382" t="s">
        <v>869</v>
      </c>
      <c r="C129" s="371"/>
      <c r="D129" s="371"/>
      <c r="E129" s="343">
        <v>135</v>
      </c>
      <c r="F129" s="343">
        <f>76.7-52.243</f>
        <v>24.457000000000001</v>
      </c>
      <c r="G129" s="234">
        <f>D129+C129+E129-F129</f>
        <v>110.54300000000001</v>
      </c>
    </row>
    <row r="130" spans="1:12" x14ac:dyDescent="0.25">
      <c r="A130" s="316">
        <v>1</v>
      </c>
      <c r="B130" s="287" t="s">
        <v>166</v>
      </c>
      <c r="C130" s="371">
        <f>+SUM(C131:C136)</f>
        <v>5762.3845600000004</v>
      </c>
      <c r="D130" s="371">
        <f t="shared" ref="D130:F130" si="15">+SUM(D131:D136)</f>
        <v>90.97</v>
      </c>
      <c r="E130" s="371">
        <f t="shared" si="15"/>
        <v>24.457000000000001</v>
      </c>
      <c r="F130" s="371">
        <f t="shared" si="15"/>
        <v>135</v>
      </c>
      <c r="G130" s="371">
        <f>+SUM(G131:G136)</f>
        <v>5742.811560000001</v>
      </c>
    </row>
    <row r="131" spans="1:12" x14ac:dyDescent="0.25">
      <c r="A131" s="399" t="s">
        <v>123</v>
      </c>
      <c r="B131" s="317" t="s">
        <v>167</v>
      </c>
      <c r="C131" s="372">
        <v>4880</v>
      </c>
      <c r="D131" s="372">
        <v>90.97</v>
      </c>
      <c r="E131" s="229"/>
      <c r="F131" s="229"/>
      <c r="G131" s="230">
        <f t="shared" ref="G131:G141" si="16">D131+C131+E131-F131</f>
        <v>4970.97</v>
      </c>
      <c r="H131" s="79"/>
    </row>
    <row r="132" spans="1:12" ht="31.5" x14ac:dyDescent="0.25">
      <c r="A132" s="399" t="s">
        <v>123</v>
      </c>
      <c r="B132" s="317" t="s">
        <v>212</v>
      </c>
      <c r="C132" s="372">
        <v>260</v>
      </c>
      <c r="D132" s="372"/>
      <c r="E132" s="229"/>
      <c r="F132" s="229"/>
      <c r="G132" s="230">
        <f t="shared" si="16"/>
        <v>260</v>
      </c>
    </row>
    <row r="133" spans="1:12" s="78" customFormat="1" x14ac:dyDescent="0.25">
      <c r="A133" s="399" t="s">
        <v>123</v>
      </c>
      <c r="B133" s="317" t="s">
        <v>161</v>
      </c>
      <c r="C133" s="372">
        <v>206.58455999999998</v>
      </c>
      <c r="D133" s="372"/>
      <c r="E133" s="229"/>
      <c r="F133" s="229"/>
      <c r="G133" s="230">
        <f t="shared" si="16"/>
        <v>206.58455999999998</v>
      </c>
    </row>
    <row r="134" spans="1:12" s="78" customFormat="1" x14ac:dyDescent="0.25">
      <c r="A134" s="399" t="s">
        <v>123</v>
      </c>
      <c r="B134" s="317" t="s">
        <v>213</v>
      </c>
      <c r="C134" s="372">
        <v>135</v>
      </c>
      <c r="D134" s="372"/>
      <c r="E134" s="229"/>
      <c r="F134" s="229">
        <v>135</v>
      </c>
      <c r="G134" s="230">
        <f t="shared" si="16"/>
        <v>0</v>
      </c>
    </row>
    <row r="135" spans="1:12" ht="47.25" x14ac:dyDescent="0.25">
      <c r="A135" s="399" t="s">
        <v>123</v>
      </c>
      <c r="B135" s="403" t="s">
        <v>826</v>
      </c>
      <c r="C135" s="372"/>
      <c r="D135" s="372"/>
      <c r="E135" s="229">
        <f>76.7-52.243</f>
        <v>24.457000000000001</v>
      </c>
      <c r="F135" s="229"/>
      <c r="G135" s="230">
        <f t="shared" si="16"/>
        <v>24.457000000000001</v>
      </c>
    </row>
    <row r="136" spans="1:12" x14ac:dyDescent="0.25">
      <c r="A136" s="399" t="s">
        <v>123</v>
      </c>
      <c r="B136" s="317" t="s">
        <v>168</v>
      </c>
      <c r="C136" s="372">
        <v>280.79999999999995</v>
      </c>
      <c r="D136" s="372"/>
      <c r="E136" s="229"/>
      <c r="F136" s="229"/>
      <c r="G136" s="230">
        <f t="shared" si="16"/>
        <v>280.79999999999995</v>
      </c>
    </row>
    <row r="137" spans="1:12" x14ac:dyDescent="0.25">
      <c r="A137" s="316" t="s">
        <v>8</v>
      </c>
      <c r="B137" s="287" t="s">
        <v>169</v>
      </c>
      <c r="C137" s="371">
        <f>+C138</f>
        <v>3866.8</v>
      </c>
      <c r="D137" s="371"/>
      <c r="E137" s="371">
        <f t="shared" ref="E137:F137" si="17">+E138</f>
        <v>0</v>
      </c>
      <c r="F137" s="371">
        <f t="shared" si="17"/>
        <v>0</v>
      </c>
      <c r="G137" s="227">
        <f t="shared" si="16"/>
        <v>3866.8</v>
      </c>
    </row>
    <row r="138" spans="1:12" s="78" customFormat="1" x14ac:dyDescent="0.25">
      <c r="A138" s="316">
        <v>1</v>
      </c>
      <c r="B138" s="287" t="s">
        <v>170</v>
      </c>
      <c r="C138" s="371">
        <f>+SUM(C139:C141)</f>
        <v>3866.8</v>
      </c>
      <c r="D138" s="371">
        <f t="shared" ref="D138:F138" si="18">+SUM(D139:D141)</f>
        <v>0</v>
      </c>
      <c r="E138" s="371">
        <f t="shared" si="18"/>
        <v>0</v>
      </c>
      <c r="F138" s="371">
        <f t="shared" si="18"/>
        <v>0</v>
      </c>
      <c r="G138" s="371">
        <f>+SUM(G139:G141)</f>
        <v>3866.8</v>
      </c>
    </row>
    <row r="139" spans="1:12" s="78" customFormat="1" ht="94.5" x14ac:dyDescent="0.25">
      <c r="A139" s="399" t="s">
        <v>123</v>
      </c>
      <c r="B139" s="317" t="s">
        <v>171</v>
      </c>
      <c r="C139" s="372">
        <v>3768</v>
      </c>
      <c r="D139" s="372"/>
      <c r="E139" s="229"/>
      <c r="F139" s="229"/>
      <c r="G139" s="230">
        <f t="shared" si="16"/>
        <v>3768</v>
      </c>
    </row>
    <row r="140" spans="1:12" ht="31.5" x14ac:dyDescent="0.25">
      <c r="A140" s="399"/>
      <c r="B140" s="317" t="s">
        <v>214</v>
      </c>
      <c r="C140" s="372">
        <v>54</v>
      </c>
      <c r="D140" s="372"/>
      <c r="E140" s="229"/>
      <c r="F140" s="229"/>
      <c r="G140" s="230">
        <f t="shared" si="16"/>
        <v>54</v>
      </c>
    </row>
    <row r="141" spans="1:12" s="80" customFormat="1" ht="31.5" x14ac:dyDescent="0.25">
      <c r="A141" s="399" t="s">
        <v>123</v>
      </c>
      <c r="B141" s="317" t="s">
        <v>215</v>
      </c>
      <c r="C141" s="372">
        <v>44.8</v>
      </c>
      <c r="D141" s="372"/>
      <c r="E141" s="229"/>
      <c r="F141" s="229"/>
      <c r="G141" s="230">
        <f t="shared" si="16"/>
        <v>44.8</v>
      </c>
      <c r="H141"/>
      <c r="I141"/>
      <c r="J141"/>
      <c r="K141"/>
      <c r="L141"/>
    </row>
    <row r="142" spans="1:12" s="80" customFormat="1" x14ac:dyDescent="0.25">
      <c r="A142" s="316" t="s">
        <v>278</v>
      </c>
      <c r="B142" s="287" t="s">
        <v>173</v>
      </c>
      <c r="C142" s="371">
        <f>+C143+C152</f>
        <v>1888.98</v>
      </c>
      <c r="D142" s="371">
        <f>+D143+D152</f>
        <v>0</v>
      </c>
      <c r="E142" s="371">
        <f>+E143+E152</f>
        <v>86</v>
      </c>
      <c r="F142" s="371">
        <f t="shared" ref="F142:G142" si="19">+F143+F152</f>
        <v>0</v>
      </c>
      <c r="G142" s="371">
        <f t="shared" si="19"/>
        <v>1974.98</v>
      </c>
      <c r="H142"/>
      <c r="I142"/>
      <c r="J142"/>
      <c r="K142"/>
      <c r="L142"/>
    </row>
    <row r="143" spans="1:12" s="80" customFormat="1" x14ac:dyDescent="0.25">
      <c r="A143" s="316">
        <v>1</v>
      </c>
      <c r="B143" s="287" t="s">
        <v>218</v>
      </c>
      <c r="C143" s="371">
        <f>+SUM(C144:C151)</f>
        <v>60</v>
      </c>
      <c r="D143" s="371">
        <f t="shared" ref="D143:G143" si="20">+SUM(D144:D151)</f>
        <v>0</v>
      </c>
      <c r="E143" s="371">
        <f t="shared" si="20"/>
        <v>86</v>
      </c>
      <c r="F143" s="371">
        <f t="shared" si="20"/>
        <v>0</v>
      </c>
      <c r="G143" s="371">
        <f t="shared" si="20"/>
        <v>146</v>
      </c>
      <c r="H143"/>
      <c r="I143"/>
      <c r="J143"/>
      <c r="K143"/>
      <c r="L143"/>
    </row>
    <row r="144" spans="1:12" s="80" customFormat="1" x14ac:dyDescent="0.25">
      <c r="A144" s="398" t="s">
        <v>123</v>
      </c>
      <c r="B144" s="317" t="s">
        <v>219</v>
      </c>
      <c r="C144" s="372">
        <v>10</v>
      </c>
      <c r="D144" s="372"/>
      <c r="E144" s="229"/>
      <c r="F144" s="229"/>
      <c r="G144" s="230">
        <f t="shared" ref="G144:G185" si="21">D144+C144+E144-F144</f>
        <v>10</v>
      </c>
      <c r="H144"/>
      <c r="I144"/>
      <c r="J144"/>
      <c r="K144"/>
      <c r="L144"/>
    </row>
    <row r="145" spans="1:12" s="80" customFormat="1" ht="31.5" x14ac:dyDescent="0.25">
      <c r="A145" s="398" t="s">
        <v>123</v>
      </c>
      <c r="B145" s="317" t="s">
        <v>874</v>
      </c>
      <c r="C145" s="233"/>
      <c r="D145" s="233"/>
      <c r="E145" s="233">
        <v>10</v>
      </c>
      <c r="F145" s="233"/>
      <c r="G145" s="230">
        <f>D145+C145+E145-F145</f>
        <v>10</v>
      </c>
      <c r="H145"/>
      <c r="I145"/>
      <c r="J145"/>
      <c r="K145"/>
      <c r="L145"/>
    </row>
    <row r="146" spans="1:12" s="80" customFormat="1" ht="31.5" x14ac:dyDescent="0.25">
      <c r="A146" s="398" t="s">
        <v>123</v>
      </c>
      <c r="B146" s="317" t="s">
        <v>672</v>
      </c>
      <c r="C146" s="372"/>
      <c r="D146" s="372"/>
      <c r="E146" s="285">
        <v>14</v>
      </c>
      <c r="F146" s="229"/>
      <c r="G146" s="230">
        <f t="shared" si="21"/>
        <v>14</v>
      </c>
      <c r="H146"/>
      <c r="I146"/>
      <c r="J146"/>
      <c r="K146"/>
      <c r="L146"/>
    </row>
    <row r="147" spans="1:12" ht="31.5" x14ac:dyDescent="0.25">
      <c r="A147" s="398" t="s">
        <v>123</v>
      </c>
      <c r="B147" s="317" t="s">
        <v>673</v>
      </c>
      <c r="C147" s="372"/>
      <c r="D147" s="372"/>
      <c r="E147" s="285">
        <v>10</v>
      </c>
      <c r="F147" s="229"/>
      <c r="G147" s="230">
        <f t="shared" si="21"/>
        <v>10</v>
      </c>
    </row>
    <row r="148" spans="1:12" s="78" customFormat="1" ht="47.25" x14ac:dyDescent="0.25">
      <c r="A148" s="398" t="s">
        <v>123</v>
      </c>
      <c r="B148" s="317" t="s">
        <v>674</v>
      </c>
      <c r="C148" s="372"/>
      <c r="D148" s="372"/>
      <c r="E148" s="285">
        <v>30</v>
      </c>
      <c r="F148" s="229"/>
      <c r="G148" s="230">
        <f t="shared" si="21"/>
        <v>30</v>
      </c>
    </row>
    <row r="149" spans="1:12" ht="31.5" x14ac:dyDescent="0.25">
      <c r="A149" s="398" t="s">
        <v>123</v>
      </c>
      <c r="B149" s="321" t="s">
        <v>663</v>
      </c>
      <c r="C149" s="372"/>
      <c r="D149" s="372"/>
      <c r="E149" s="229">
        <v>12</v>
      </c>
      <c r="F149" s="229"/>
      <c r="G149" s="230">
        <f t="shared" si="21"/>
        <v>12</v>
      </c>
    </row>
    <row r="150" spans="1:12" s="78" customFormat="1" ht="31.5" x14ac:dyDescent="0.25">
      <c r="A150" s="398" t="s">
        <v>123</v>
      </c>
      <c r="B150" s="317" t="s">
        <v>243</v>
      </c>
      <c r="C150" s="372"/>
      <c r="D150" s="372"/>
      <c r="E150" s="229">
        <v>10</v>
      </c>
      <c r="F150" s="229"/>
      <c r="G150" s="230">
        <f t="shared" si="21"/>
        <v>10</v>
      </c>
    </row>
    <row r="151" spans="1:12" s="78" customFormat="1" x14ac:dyDescent="0.25">
      <c r="A151" s="398" t="s">
        <v>123</v>
      </c>
      <c r="B151" s="317" t="s">
        <v>220</v>
      </c>
      <c r="C151" s="372">
        <v>50</v>
      </c>
      <c r="D151" s="372"/>
      <c r="E151" s="375"/>
      <c r="F151" s="375"/>
      <c r="G151" s="230">
        <f t="shared" si="21"/>
        <v>50</v>
      </c>
    </row>
    <row r="152" spans="1:12" x14ac:dyDescent="0.25">
      <c r="A152" s="316">
        <v>2</v>
      </c>
      <c r="B152" s="287" t="s">
        <v>221</v>
      </c>
      <c r="C152" s="371">
        <f>+C153</f>
        <v>1828.98</v>
      </c>
      <c r="D152" s="371">
        <f t="shared" ref="D152:G152" si="22">+D153</f>
        <v>0</v>
      </c>
      <c r="E152" s="371">
        <f t="shared" si="22"/>
        <v>0</v>
      </c>
      <c r="F152" s="371">
        <f t="shared" si="22"/>
        <v>0</v>
      </c>
      <c r="G152" s="371">
        <f t="shared" si="22"/>
        <v>1828.98</v>
      </c>
      <c r="H152">
        <v>29484</v>
      </c>
    </row>
    <row r="153" spans="1:12" ht="31.5" x14ac:dyDescent="0.25">
      <c r="A153" s="399" t="s">
        <v>123</v>
      </c>
      <c r="B153" s="317" t="s">
        <v>174</v>
      </c>
      <c r="C153" s="319">
        <v>1828.98</v>
      </c>
      <c r="D153" s="319"/>
      <c r="E153" s="229"/>
      <c r="F153" s="229"/>
      <c r="G153" s="230">
        <f t="shared" si="21"/>
        <v>1828.98</v>
      </c>
      <c r="H153">
        <f>108000-H152</f>
        <v>78516</v>
      </c>
    </row>
    <row r="154" spans="1:12" x14ac:dyDescent="0.25">
      <c r="A154" s="316" t="s">
        <v>114</v>
      </c>
      <c r="B154" s="287" t="s">
        <v>222</v>
      </c>
      <c r="C154" s="226">
        <f>+C155+C159</f>
        <v>1308.43</v>
      </c>
      <c r="D154" s="226">
        <f t="shared" ref="D154" si="23">+D155+D159</f>
        <v>0</v>
      </c>
      <c r="E154" s="226">
        <f>+E155+E159</f>
        <v>826.2</v>
      </c>
      <c r="F154" s="226">
        <f>+F155+F159</f>
        <v>757.2</v>
      </c>
      <c r="G154" s="230">
        <f t="shared" si="21"/>
        <v>1377.43</v>
      </c>
    </row>
    <row r="155" spans="1:12" s="78" customFormat="1" x14ac:dyDescent="0.25">
      <c r="A155" s="316">
        <v>1</v>
      </c>
      <c r="B155" s="287" t="s">
        <v>221</v>
      </c>
      <c r="C155" s="226">
        <f>+SUM(C156:C158)</f>
        <v>1308.43</v>
      </c>
      <c r="D155" s="226">
        <f t="shared" ref="D155:G155" si="24">+SUM(D156:D158)</f>
        <v>0</v>
      </c>
      <c r="E155" s="226">
        <f t="shared" si="24"/>
        <v>0</v>
      </c>
      <c r="F155" s="226">
        <f t="shared" si="24"/>
        <v>757.2</v>
      </c>
      <c r="G155" s="226">
        <f t="shared" si="24"/>
        <v>551.23</v>
      </c>
      <c r="H155" s="78">
        <f>+E155</f>
        <v>0</v>
      </c>
    </row>
    <row r="156" spans="1:12" s="80" customFormat="1" x14ac:dyDescent="0.25">
      <c r="A156" s="399" t="s">
        <v>123</v>
      </c>
      <c r="B156" s="317" t="s">
        <v>158</v>
      </c>
      <c r="C156" s="319">
        <v>108</v>
      </c>
      <c r="D156" s="319"/>
      <c r="E156" s="229"/>
      <c r="F156" s="229">
        <v>78.5</v>
      </c>
      <c r="G156" s="230">
        <f t="shared" si="21"/>
        <v>29.5</v>
      </c>
      <c r="H156"/>
      <c r="I156"/>
      <c r="J156"/>
      <c r="K156"/>
      <c r="L156"/>
    </row>
    <row r="157" spans="1:12" s="80" customFormat="1" x14ac:dyDescent="0.25">
      <c r="A157" s="399" t="s">
        <v>123</v>
      </c>
      <c r="B157" s="317" t="s">
        <v>223</v>
      </c>
      <c r="C157" s="319">
        <v>678.7</v>
      </c>
      <c r="D157" s="319"/>
      <c r="E157" s="229"/>
      <c r="F157" s="229">
        <v>678.7</v>
      </c>
      <c r="G157" s="230">
        <f t="shared" si="21"/>
        <v>0</v>
      </c>
      <c r="H157"/>
      <c r="I157"/>
      <c r="J157"/>
      <c r="K157"/>
      <c r="L157"/>
    </row>
    <row r="158" spans="1:12" s="80" customFormat="1" ht="31.5" x14ac:dyDescent="0.25">
      <c r="A158" s="399" t="s">
        <v>123</v>
      </c>
      <c r="B158" s="317" t="s">
        <v>172</v>
      </c>
      <c r="C158" s="319">
        <v>521.73</v>
      </c>
      <c r="D158" s="319"/>
      <c r="E158" s="229"/>
      <c r="F158" s="229"/>
      <c r="G158" s="230">
        <f t="shared" si="21"/>
        <v>521.73</v>
      </c>
      <c r="H158"/>
      <c r="I158"/>
      <c r="J158"/>
      <c r="K158"/>
      <c r="L158"/>
    </row>
    <row r="159" spans="1:12" s="80" customFormat="1" x14ac:dyDescent="0.25">
      <c r="A159" s="378">
        <v>2</v>
      </c>
      <c r="B159" s="287" t="s">
        <v>262</v>
      </c>
      <c r="C159" s="226">
        <f>+SUM(C160:C163)</f>
        <v>0</v>
      </c>
      <c r="D159" s="226">
        <f t="shared" ref="D159" si="25">+SUM(D160:D163)</f>
        <v>0</v>
      </c>
      <c r="E159" s="226">
        <f>+SUM(E160:E163)</f>
        <v>826.2</v>
      </c>
      <c r="F159" s="226">
        <f t="shared" ref="F159:G159" si="26">+SUM(F160:F163)</f>
        <v>0</v>
      </c>
      <c r="G159" s="226">
        <f t="shared" si="26"/>
        <v>826.2</v>
      </c>
      <c r="H159"/>
      <c r="I159"/>
      <c r="J159"/>
      <c r="K159"/>
      <c r="L159"/>
    </row>
    <row r="160" spans="1:12" s="80" customFormat="1" x14ac:dyDescent="0.25">
      <c r="A160" s="399" t="s">
        <v>123</v>
      </c>
      <c r="B160" s="317" t="s">
        <v>158</v>
      </c>
      <c r="C160" s="319"/>
      <c r="D160" s="319"/>
      <c r="E160" s="229">
        <v>78.5</v>
      </c>
      <c r="F160" s="229"/>
      <c r="G160" s="230">
        <f t="shared" si="21"/>
        <v>78.5</v>
      </c>
      <c r="H160"/>
      <c r="I160"/>
      <c r="J160"/>
      <c r="K160"/>
      <c r="L160"/>
    </row>
    <row r="161" spans="1:12" s="80" customFormat="1" x14ac:dyDescent="0.25">
      <c r="A161" s="399" t="s">
        <v>123</v>
      </c>
      <c r="B161" s="317" t="s">
        <v>223</v>
      </c>
      <c r="C161" s="319"/>
      <c r="D161" s="319"/>
      <c r="E161" s="229">
        <v>679.7</v>
      </c>
      <c r="F161" s="229"/>
      <c r="G161" s="230">
        <f t="shared" si="21"/>
        <v>679.7</v>
      </c>
      <c r="H161"/>
      <c r="I161"/>
      <c r="J161"/>
      <c r="K161"/>
      <c r="L161"/>
    </row>
    <row r="162" spans="1:12" s="80" customFormat="1" ht="47.25" x14ac:dyDescent="0.25">
      <c r="A162" s="399" t="s">
        <v>123</v>
      </c>
      <c r="B162" s="322" t="s">
        <v>263</v>
      </c>
      <c r="C162" s="319"/>
      <c r="D162" s="319"/>
      <c r="E162" s="229">
        <v>40</v>
      </c>
      <c r="F162" s="229"/>
      <c r="G162" s="230">
        <f t="shared" si="21"/>
        <v>40</v>
      </c>
      <c r="H162"/>
      <c r="I162"/>
      <c r="J162"/>
      <c r="K162"/>
      <c r="L162"/>
    </row>
    <row r="163" spans="1:12" s="80" customFormat="1" ht="47.25" x14ac:dyDescent="0.25">
      <c r="A163" s="399" t="s">
        <v>123</v>
      </c>
      <c r="B163" s="317" t="s">
        <v>664</v>
      </c>
      <c r="C163" s="319"/>
      <c r="D163" s="319"/>
      <c r="E163" s="229">
        <v>28</v>
      </c>
      <c r="F163" s="229"/>
      <c r="G163" s="230">
        <f t="shared" si="21"/>
        <v>28</v>
      </c>
      <c r="H163"/>
      <c r="I163"/>
      <c r="J163"/>
      <c r="K163"/>
      <c r="L163"/>
    </row>
    <row r="164" spans="1:12" s="80" customFormat="1" x14ac:dyDescent="0.25">
      <c r="A164" s="316" t="s">
        <v>175</v>
      </c>
      <c r="B164" s="287" t="s">
        <v>224</v>
      </c>
      <c r="C164" s="371">
        <f>+C165+C170</f>
        <v>206</v>
      </c>
      <c r="D164" s="371">
        <f t="shared" ref="D164:G164" si="27">+D165+D170</f>
        <v>0</v>
      </c>
      <c r="E164" s="371">
        <f t="shared" si="27"/>
        <v>256</v>
      </c>
      <c r="F164" s="371">
        <f t="shared" si="27"/>
        <v>206</v>
      </c>
      <c r="G164" s="371">
        <f t="shared" si="27"/>
        <v>256</v>
      </c>
      <c r="H164"/>
      <c r="I164"/>
      <c r="J164"/>
      <c r="K164"/>
      <c r="L164"/>
    </row>
    <row r="165" spans="1:12" s="80" customFormat="1" x14ac:dyDescent="0.25">
      <c r="A165" s="316">
        <v>1</v>
      </c>
      <c r="B165" s="287" t="s">
        <v>225</v>
      </c>
      <c r="C165" s="372">
        <f>+C166+C168</f>
        <v>6</v>
      </c>
      <c r="D165" s="372">
        <f t="shared" ref="D165:G165" si="28">+D166+D168</f>
        <v>0</v>
      </c>
      <c r="E165" s="372">
        <f t="shared" si="28"/>
        <v>6</v>
      </c>
      <c r="F165" s="372">
        <f t="shared" si="28"/>
        <v>6</v>
      </c>
      <c r="G165" s="372">
        <f t="shared" si="28"/>
        <v>6</v>
      </c>
      <c r="H165"/>
      <c r="I165"/>
      <c r="J165"/>
      <c r="K165"/>
      <c r="L165"/>
    </row>
    <row r="166" spans="1:12" s="80" customFormat="1" x14ac:dyDescent="0.25">
      <c r="A166" s="316" t="s">
        <v>12</v>
      </c>
      <c r="B166" s="287" t="s">
        <v>226</v>
      </c>
      <c r="C166" s="371">
        <f>+C167</f>
        <v>6</v>
      </c>
      <c r="D166" s="371"/>
      <c r="E166" s="371">
        <f t="shared" ref="E166:F166" si="29">+E167</f>
        <v>0</v>
      </c>
      <c r="F166" s="371">
        <f t="shared" si="29"/>
        <v>6</v>
      </c>
      <c r="G166" s="230">
        <f t="shared" si="21"/>
        <v>0</v>
      </c>
      <c r="H166"/>
      <c r="I166"/>
      <c r="J166"/>
      <c r="K166"/>
      <c r="L166"/>
    </row>
    <row r="167" spans="1:12" s="80" customFormat="1" x14ac:dyDescent="0.25">
      <c r="A167" s="398" t="s">
        <v>123</v>
      </c>
      <c r="B167" s="317" t="s">
        <v>227</v>
      </c>
      <c r="C167" s="383">
        <v>6</v>
      </c>
      <c r="D167" s="383"/>
      <c r="E167" s="232"/>
      <c r="F167" s="232">
        <v>6</v>
      </c>
      <c r="G167" s="230">
        <f t="shared" si="21"/>
        <v>0</v>
      </c>
      <c r="H167"/>
      <c r="I167"/>
      <c r="J167"/>
      <c r="K167"/>
      <c r="L167"/>
    </row>
    <row r="168" spans="1:12" s="80" customFormat="1" x14ac:dyDescent="0.25">
      <c r="A168" s="316" t="s">
        <v>14</v>
      </c>
      <c r="B168" s="287" t="s">
        <v>258</v>
      </c>
      <c r="C168" s="384">
        <f>+C169</f>
        <v>0</v>
      </c>
      <c r="D168" s="384">
        <f t="shared" ref="D168:G168" si="30">+D169</f>
        <v>0</v>
      </c>
      <c r="E168" s="384">
        <f t="shared" si="30"/>
        <v>6</v>
      </c>
      <c r="F168" s="384">
        <f t="shared" si="30"/>
        <v>0</v>
      </c>
      <c r="G168" s="384">
        <f t="shared" si="30"/>
        <v>6</v>
      </c>
      <c r="H168"/>
      <c r="I168"/>
      <c r="J168"/>
      <c r="K168"/>
      <c r="L168"/>
    </row>
    <row r="169" spans="1:12" s="81" customFormat="1" x14ac:dyDescent="0.25">
      <c r="A169" s="398"/>
      <c r="B169" s="317" t="s">
        <v>227</v>
      </c>
      <c r="C169" s="383"/>
      <c r="D169" s="383"/>
      <c r="E169" s="232">
        <v>6</v>
      </c>
      <c r="F169" s="232"/>
      <c r="G169" s="230">
        <f t="shared" si="21"/>
        <v>6</v>
      </c>
      <c r="H169" s="78"/>
      <c r="I169" s="78"/>
      <c r="J169" s="78"/>
      <c r="K169" s="78"/>
      <c r="L169" s="78"/>
    </row>
    <row r="170" spans="1:12" s="80" customFormat="1" ht="29.25" customHeight="1" x14ac:dyDescent="0.25">
      <c r="A170" s="316">
        <v>2</v>
      </c>
      <c r="B170" s="287" t="s">
        <v>228</v>
      </c>
      <c r="C170" s="371">
        <f>+C171+C174+C176</f>
        <v>200</v>
      </c>
      <c r="D170" s="371">
        <f t="shared" ref="D170:G170" si="31">+D171+D174+D176</f>
        <v>0</v>
      </c>
      <c r="E170" s="371">
        <f t="shared" si="31"/>
        <v>250</v>
      </c>
      <c r="F170" s="371">
        <f t="shared" si="31"/>
        <v>200</v>
      </c>
      <c r="G170" s="371">
        <f t="shared" si="31"/>
        <v>250</v>
      </c>
      <c r="H170"/>
      <c r="I170"/>
      <c r="J170"/>
      <c r="K170"/>
      <c r="L170"/>
    </row>
    <row r="171" spans="1:12" s="80" customFormat="1" ht="29.25" customHeight="1" x14ac:dyDescent="0.25">
      <c r="A171" s="316" t="s">
        <v>15</v>
      </c>
      <c r="B171" s="287" t="s">
        <v>226</v>
      </c>
      <c r="C171" s="371">
        <f>+SUM(C172:C173)</f>
        <v>200</v>
      </c>
      <c r="D171" s="371">
        <f t="shared" ref="D171:G171" si="32">+SUM(D172:D173)</f>
        <v>0</v>
      </c>
      <c r="E171" s="371">
        <f t="shared" si="32"/>
        <v>50</v>
      </c>
      <c r="F171" s="371">
        <f t="shared" si="32"/>
        <v>200</v>
      </c>
      <c r="G171" s="371">
        <f t="shared" si="32"/>
        <v>50</v>
      </c>
      <c r="H171"/>
      <c r="I171"/>
      <c r="J171"/>
      <c r="K171"/>
      <c r="L171"/>
    </row>
    <row r="172" spans="1:12" s="80" customFormat="1" ht="50.25" customHeight="1" x14ac:dyDescent="0.25">
      <c r="A172" s="399" t="s">
        <v>123</v>
      </c>
      <c r="B172" s="385" t="s">
        <v>256</v>
      </c>
      <c r="C172" s="372">
        <v>200</v>
      </c>
      <c r="D172" s="372"/>
      <c r="E172" s="229"/>
      <c r="F172" s="229">
        <v>200</v>
      </c>
      <c r="G172" s="230">
        <f t="shared" si="21"/>
        <v>0</v>
      </c>
      <c r="H172"/>
      <c r="I172"/>
      <c r="J172"/>
      <c r="K172"/>
      <c r="L172"/>
    </row>
    <row r="173" spans="1:12" s="80" customFormat="1" ht="31.5" x14ac:dyDescent="0.25">
      <c r="A173" s="399" t="s">
        <v>123</v>
      </c>
      <c r="B173" s="317" t="s">
        <v>426</v>
      </c>
      <c r="C173" s="372"/>
      <c r="D173" s="372"/>
      <c r="E173" s="229">
        <v>50</v>
      </c>
      <c r="F173" s="229"/>
      <c r="G173" s="230">
        <f t="shared" si="21"/>
        <v>50</v>
      </c>
      <c r="H173"/>
      <c r="I173"/>
      <c r="J173"/>
      <c r="K173"/>
      <c r="L173"/>
    </row>
    <row r="174" spans="1:12" s="81" customFormat="1" x14ac:dyDescent="0.25">
      <c r="A174" s="378" t="s">
        <v>16</v>
      </c>
      <c r="B174" s="287" t="s">
        <v>170</v>
      </c>
      <c r="C174" s="371">
        <f>+C175</f>
        <v>0</v>
      </c>
      <c r="D174" s="371"/>
      <c r="E174" s="371">
        <f>+E175</f>
        <v>25</v>
      </c>
      <c r="F174" s="371">
        <f t="shared" ref="F174" si="33">+F175</f>
        <v>0</v>
      </c>
      <c r="G174" s="230">
        <f t="shared" si="21"/>
        <v>25</v>
      </c>
      <c r="H174" s="78"/>
      <c r="I174" s="78"/>
      <c r="J174" s="78"/>
      <c r="K174" s="78"/>
      <c r="L174" s="78"/>
    </row>
    <row r="175" spans="1:12" s="80" customFormat="1" ht="31.5" x14ac:dyDescent="0.25">
      <c r="A175" s="399"/>
      <c r="B175" s="385" t="s">
        <v>257</v>
      </c>
      <c r="C175" s="372"/>
      <c r="D175" s="372"/>
      <c r="E175" s="229">
        <v>25</v>
      </c>
      <c r="F175" s="229"/>
      <c r="G175" s="230">
        <f t="shared" si="21"/>
        <v>25</v>
      </c>
      <c r="H175"/>
      <c r="I175"/>
      <c r="J175"/>
      <c r="K175"/>
      <c r="L175"/>
    </row>
    <row r="176" spans="1:12" s="80" customFormat="1" x14ac:dyDescent="0.25">
      <c r="A176" s="378" t="s">
        <v>48</v>
      </c>
      <c r="B176" s="287" t="s">
        <v>258</v>
      </c>
      <c r="C176" s="371">
        <f>+C177</f>
        <v>0</v>
      </c>
      <c r="D176" s="371">
        <f t="shared" ref="D176:G176" si="34">+D177</f>
        <v>0</v>
      </c>
      <c r="E176" s="371">
        <f>+E177</f>
        <v>175</v>
      </c>
      <c r="F176" s="371">
        <f t="shared" si="34"/>
        <v>0</v>
      </c>
      <c r="G176" s="371">
        <f t="shared" si="34"/>
        <v>175</v>
      </c>
      <c r="H176"/>
      <c r="I176"/>
      <c r="J176"/>
      <c r="K176"/>
      <c r="L176"/>
    </row>
    <row r="177" spans="1:12" s="80" customFormat="1" ht="47.25" x14ac:dyDescent="0.25">
      <c r="A177" s="399"/>
      <c r="B177" s="385" t="s">
        <v>256</v>
      </c>
      <c r="C177" s="372"/>
      <c r="D177" s="372"/>
      <c r="E177" s="229">
        <v>175</v>
      </c>
      <c r="F177" s="229"/>
      <c r="G177" s="230">
        <f t="shared" si="21"/>
        <v>175</v>
      </c>
      <c r="H177"/>
      <c r="I177"/>
      <c r="J177"/>
      <c r="K177"/>
      <c r="L177"/>
    </row>
    <row r="178" spans="1:12" s="78" customFormat="1" x14ac:dyDescent="0.25">
      <c r="A178" s="316" t="s">
        <v>279</v>
      </c>
      <c r="B178" s="287" t="s">
        <v>229</v>
      </c>
      <c r="C178" s="371">
        <f>+C179+C181</f>
        <v>250</v>
      </c>
      <c r="D178" s="371">
        <f t="shared" ref="D178:G178" si="35">+D179+D181</f>
        <v>0</v>
      </c>
      <c r="E178" s="371">
        <f t="shared" si="35"/>
        <v>250</v>
      </c>
      <c r="F178" s="371">
        <f t="shared" si="35"/>
        <v>250</v>
      </c>
      <c r="G178" s="371">
        <f t="shared" si="35"/>
        <v>250</v>
      </c>
      <c r="H178" s="78">
        <f>1665-1216</f>
        <v>449</v>
      </c>
    </row>
    <row r="179" spans="1:12" s="78" customFormat="1" x14ac:dyDescent="0.25">
      <c r="A179" s="316">
        <v>1</v>
      </c>
      <c r="B179" s="287" t="s">
        <v>226</v>
      </c>
      <c r="C179" s="371">
        <f>+C180</f>
        <v>250</v>
      </c>
      <c r="D179" s="371"/>
      <c r="E179" s="371">
        <f t="shared" ref="E179:F179" si="36">+E180</f>
        <v>0</v>
      </c>
      <c r="F179" s="371">
        <f t="shared" si="36"/>
        <v>250</v>
      </c>
      <c r="G179" s="230">
        <f t="shared" si="21"/>
        <v>0</v>
      </c>
    </row>
    <row r="180" spans="1:12" ht="47.25" x14ac:dyDescent="0.25">
      <c r="A180" s="399" t="s">
        <v>123</v>
      </c>
      <c r="B180" s="317" t="s">
        <v>230</v>
      </c>
      <c r="C180" s="383">
        <v>250</v>
      </c>
      <c r="D180" s="383"/>
      <c r="E180" s="232"/>
      <c r="F180" s="232">
        <v>250</v>
      </c>
      <c r="G180" s="230">
        <f t="shared" si="21"/>
        <v>0</v>
      </c>
      <c r="H180" s="79">
        <f>1931-F181</f>
        <v>1931</v>
      </c>
    </row>
    <row r="181" spans="1:12" s="81" customFormat="1" x14ac:dyDescent="0.25">
      <c r="A181" s="378">
        <v>2</v>
      </c>
      <c r="B181" s="287" t="s">
        <v>258</v>
      </c>
      <c r="C181" s="371">
        <f>+C182</f>
        <v>0</v>
      </c>
      <c r="D181" s="371">
        <f t="shared" ref="D181:G181" si="37">+D182</f>
        <v>0</v>
      </c>
      <c r="E181" s="371">
        <f t="shared" si="37"/>
        <v>250</v>
      </c>
      <c r="F181" s="371">
        <f t="shared" si="37"/>
        <v>0</v>
      </c>
      <c r="G181" s="371">
        <f t="shared" si="37"/>
        <v>250</v>
      </c>
      <c r="H181" s="78" t="s">
        <v>429</v>
      </c>
      <c r="I181" s="78"/>
      <c r="J181" s="78"/>
      <c r="K181" s="78"/>
      <c r="L181" s="78"/>
    </row>
    <row r="182" spans="1:12" s="78" customFormat="1" ht="47.25" x14ac:dyDescent="0.25">
      <c r="A182" s="399"/>
      <c r="B182" s="317" t="s">
        <v>230</v>
      </c>
      <c r="C182" s="383"/>
      <c r="D182" s="383"/>
      <c r="E182" s="232">
        <v>250</v>
      </c>
      <c r="F182" s="232"/>
      <c r="G182" s="230">
        <f t="shared" si="21"/>
        <v>250</v>
      </c>
      <c r="H182" s="78">
        <f>53140.3+1550</f>
        <v>54690.3</v>
      </c>
      <c r="I182" s="316"/>
      <c r="J182" s="287"/>
    </row>
    <row r="183" spans="1:12" s="78" customFormat="1" x14ac:dyDescent="0.25">
      <c r="A183" s="316" t="s">
        <v>280</v>
      </c>
      <c r="B183" s="287" t="s">
        <v>231</v>
      </c>
      <c r="C183" s="371">
        <f>+C184</f>
        <v>500</v>
      </c>
      <c r="D183" s="371"/>
      <c r="E183" s="371">
        <f t="shared" ref="E183:F184" si="38">+E184</f>
        <v>0</v>
      </c>
      <c r="F183" s="371">
        <f t="shared" si="38"/>
        <v>0</v>
      </c>
      <c r="G183" s="227">
        <f t="shared" si="21"/>
        <v>500</v>
      </c>
      <c r="H183" s="381">
        <v>21003.5</v>
      </c>
      <c r="I183" s="386"/>
      <c r="J183" s="323"/>
    </row>
    <row r="184" spans="1:12" s="78" customFormat="1" x14ac:dyDescent="0.25">
      <c r="A184" s="316">
        <v>1</v>
      </c>
      <c r="B184" s="287" t="s">
        <v>170</v>
      </c>
      <c r="C184" s="371">
        <f>+C185</f>
        <v>500</v>
      </c>
      <c r="D184" s="371"/>
      <c r="E184" s="371">
        <f t="shared" si="38"/>
        <v>0</v>
      </c>
      <c r="F184" s="371">
        <f t="shared" si="38"/>
        <v>0</v>
      </c>
      <c r="G184" s="227">
        <f t="shared" si="21"/>
        <v>500</v>
      </c>
      <c r="H184" s="381">
        <f>+H183+D182+17518.8</f>
        <v>38522.300000000003</v>
      </c>
      <c r="I184" s="386"/>
      <c r="J184" s="323"/>
    </row>
    <row r="185" spans="1:12" ht="31.5" x14ac:dyDescent="0.25">
      <c r="A185" s="399" t="s">
        <v>123</v>
      </c>
      <c r="B185" s="317" t="s">
        <v>232</v>
      </c>
      <c r="C185" s="372">
        <v>500</v>
      </c>
      <c r="D185" s="372"/>
      <c r="E185" s="229"/>
      <c r="F185" s="229"/>
      <c r="G185" s="230">
        <f t="shared" si="21"/>
        <v>500</v>
      </c>
      <c r="I185" s="404"/>
      <c r="J185" s="324"/>
    </row>
    <row r="186" spans="1:12" x14ac:dyDescent="0.25">
      <c r="A186" s="316" t="s">
        <v>880</v>
      </c>
      <c r="B186" s="287" t="s">
        <v>675</v>
      </c>
      <c r="C186" s="223">
        <f t="shared" ref="C186:G187" si="39">+C187</f>
        <v>0</v>
      </c>
      <c r="D186" s="223">
        <f t="shared" si="39"/>
        <v>0</v>
      </c>
      <c r="E186" s="223">
        <f t="shared" si="39"/>
        <v>50</v>
      </c>
      <c r="F186" s="223">
        <f t="shared" si="39"/>
        <v>0</v>
      </c>
      <c r="G186" s="223">
        <f t="shared" si="39"/>
        <v>50</v>
      </c>
      <c r="H186" s="79">
        <f>+E188+E197+E204+E209+E212+E218+E231</f>
        <v>600.33999999999992</v>
      </c>
      <c r="I186" s="387">
        <f>+E188+E197+E209+E212+E218+E231+E204</f>
        <v>600.33999999999992</v>
      </c>
      <c r="J186" s="324"/>
    </row>
    <row r="187" spans="1:12" s="80" customFormat="1" ht="21" customHeight="1" x14ac:dyDescent="0.25">
      <c r="A187" s="398">
        <v>1</v>
      </c>
      <c r="B187" s="287" t="s">
        <v>676</v>
      </c>
      <c r="C187" s="223">
        <f t="shared" si="39"/>
        <v>0</v>
      </c>
      <c r="D187" s="223">
        <f t="shared" si="39"/>
        <v>0</v>
      </c>
      <c r="E187" s="223">
        <f t="shared" si="39"/>
        <v>50</v>
      </c>
      <c r="F187" s="223">
        <f t="shared" si="39"/>
        <v>0</v>
      </c>
      <c r="G187" s="223">
        <f t="shared" si="39"/>
        <v>50</v>
      </c>
      <c r="H187" s="79">
        <f>+F193+F201+F206+F224+F233</f>
        <v>1826.3000000000002</v>
      </c>
      <c r="I187" s="404"/>
      <c r="J187" s="324"/>
      <c r="K187"/>
      <c r="L187"/>
    </row>
    <row r="188" spans="1:12" s="80" customFormat="1" ht="33" customHeight="1" x14ac:dyDescent="0.25">
      <c r="A188" s="398" t="s">
        <v>123</v>
      </c>
      <c r="B188" s="326" t="s">
        <v>677</v>
      </c>
      <c r="C188" s="233"/>
      <c r="D188" s="233"/>
      <c r="E188" s="405">
        <v>50</v>
      </c>
      <c r="F188" s="233"/>
      <c r="G188" s="230">
        <f>D188+C188+E188-F188</f>
        <v>50</v>
      </c>
      <c r="H188" s="79">
        <f>+H187-H186</f>
        <v>1225.9600000000003</v>
      </c>
      <c r="I188" s="404"/>
      <c r="J188" s="324"/>
      <c r="K188"/>
      <c r="L188"/>
    </row>
    <row r="189" spans="1:12" s="80" customFormat="1" x14ac:dyDescent="0.25">
      <c r="A189" s="316" t="s">
        <v>233</v>
      </c>
      <c r="B189" s="287" t="s">
        <v>234</v>
      </c>
      <c r="C189" s="371">
        <v>2538</v>
      </c>
      <c r="D189" s="371"/>
      <c r="E189" s="228">
        <v>0</v>
      </c>
      <c r="F189" s="313">
        <f>+'Dự phòng '!D5</f>
        <v>2002.729</v>
      </c>
      <c r="G189" s="227">
        <f>D189+C189+E189-F189</f>
        <v>535.27099999999996</v>
      </c>
      <c r="H189"/>
      <c r="I189" s="404"/>
      <c r="J189" s="324"/>
      <c r="K189"/>
      <c r="L189"/>
    </row>
    <row r="190" spans="1:12" s="80" customFormat="1" ht="31.5" x14ac:dyDescent="0.25">
      <c r="A190" s="316" t="s">
        <v>881</v>
      </c>
      <c r="B190" s="287" t="s">
        <v>882</v>
      </c>
      <c r="C190" s="371">
        <v>0</v>
      </c>
      <c r="D190" s="371">
        <v>1995.16</v>
      </c>
      <c r="E190" s="228">
        <v>0</v>
      </c>
      <c r="F190" s="313">
        <v>549</v>
      </c>
      <c r="G190" s="227">
        <f>D190+C190+E190-F190</f>
        <v>1446.16</v>
      </c>
      <c r="H190" t="s">
        <v>275</v>
      </c>
      <c r="I190" s="404"/>
      <c r="J190" s="324"/>
      <c r="K190"/>
      <c r="L190"/>
    </row>
    <row r="191" spans="1:12" s="80" customFormat="1" x14ac:dyDescent="0.25">
      <c r="A191" s="370" t="s">
        <v>159</v>
      </c>
      <c r="B191" s="284" t="s">
        <v>238</v>
      </c>
      <c r="C191" s="373">
        <f>+C192+C236+C243+C219+C227+C262+C270+C275+C279+C258+C186</f>
        <v>17518.5</v>
      </c>
      <c r="D191" s="373">
        <f>+D192+D236+D243+D219+D227+D262+D270+D275+D279+D258+D186</f>
        <v>28857.520999999997</v>
      </c>
      <c r="E191" s="373">
        <f t="shared" ref="E191:G191" si="40">+E192+E236+E243+E219+E227+E262+E270+E275+E279+E258+E186</f>
        <v>46408.052000000003</v>
      </c>
      <c r="F191" s="373">
        <f t="shared" si="40"/>
        <v>8637.8490000000002</v>
      </c>
      <c r="G191" s="373">
        <f t="shared" si="40"/>
        <v>83969.364000000001</v>
      </c>
      <c r="H191"/>
      <c r="I191" s="404"/>
      <c r="J191" s="324"/>
      <c r="K191"/>
      <c r="L191"/>
    </row>
    <row r="192" spans="1:12" s="80" customFormat="1" ht="31.5" x14ac:dyDescent="0.25">
      <c r="A192" s="316" t="s">
        <v>2</v>
      </c>
      <c r="B192" s="287" t="s">
        <v>184</v>
      </c>
      <c r="C192" s="373">
        <f>+C193+C201+C209+C213+C215</f>
        <v>302</v>
      </c>
      <c r="D192" s="373">
        <f>+D193+D201+D209+D213+D215</f>
        <v>6331</v>
      </c>
      <c r="E192" s="373">
        <f t="shared" ref="E192:G192" si="41">+E193+E201+E209+E213+E215</f>
        <v>2509.9300000000003</v>
      </c>
      <c r="F192" s="373">
        <f t="shared" si="41"/>
        <v>1826.3000000000002</v>
      </c>
      <c r="G192" s="373">
        <f t="shared" si="41"/>
        <v>7316.6299999999992</v>
      </c>
      <c r="H192"/>
      <c r="I192" s="404"/>
      <c r="J192" s="324"/>
      <c r="K192"/>
      <c r="L192"/>
    </row>
    <row r="193" spans="1:12" s="82" customFormat="1" x14ac:dyDescent="0.25">
      <c r="A193" s="316">
        <v>1</v>
      </c>
      <c r="B193" s="287" t="s">
        <v>185</v>
      </c>
      <c r="C193" s="373">
        <f>+SUM(C194:C200)</f>
        <v>40.799999999999997</v>
      </c>
      <c r="D193" s="373">
        <f>+SUM(D194:D200)</f>
        <v>3457.71</v>
      </c>
      <c r="E193" s="373">
        <f t="shared" ref="E193:G193" si="42">+SUM(E194:E200)</f>
        <v>640.29999999999995</v>
      </c>
      <c r="F193" s="373">
        <f t="shared" si="42"/>
        <v>1686.3000000000002</v>
      </c>
      <c r="G193" s="373">
        <f t="shared" si="42"/>
        <v>2452.5099999999998</v>
      </c>
      <c r="H193" s="388"/>
      <c r="I193" s="366"/>
      <c r="J193" s="389"/>
      <c r="K193" s="388"/>
      <c r="L193" s="388"/>
    </row>
    <row r="194" spans="1:12" s="78" customFormat="1" ht="31.5" x14ac:dyDescent="0.25">
      <c r="A194" s="400" t="s">
        <v>123</v>
      </c>
      <c r="B194" s="318" t="s">
        <v>186</v>
      </c>
      <c r="C194" s="375">
        <v>40.799999999999997</v>
      </c>
      <c r="D194" s="375"/>
      <c r="E194" s="229"/>
      <c r="F194" s="229"/>
      <c r="G194" s="230">
        <f t="shared" ref="G194:G214" si="43">D194+C194+E194-F194</f>
        <v>40.799999999999997</v>
      </c>
      <c r="H194" s="222" t="s">
        <v>405</v>
      </c>
      <c r="I194" s="386"/>
      <c r="J194" s="323"/>
    </row>
    <row r="195" spans="1:12" ht="78.75" x14ac:dyDescent="0.25">
      <c r="A195" s="400" t="s">
        <v>123</v>
      </c>
      <c r="B195" s="317" t="s">
        <v>163</v>
      </c>
      <c r="C195" s="375"/>
      <c r="D195" s="375"/>
      <c r="E195" s="229">
        <f>20+18.8</f>
        <v>38.799999999999997</v>
      </c>
      <c r="F195" s="229"/>
      <c r="G195" s="230">
        <f t="shared" si="43"/>
        <v>38.799999999999997</v>
      </c>
      <c r="I195" s="404"/>
      <c r="J195" s="324"/>
    </row>
    <row r="196" spans="1:12" s="80" customFormat="1" ht="33" customHeight="1" x14ac:dyDescent="0.25">
      <c r="A196" s="400" t="s">
        <v>123</v>
      </c>
      <c r="B196" s="318" t="s">
        <v>421</v>
      </c>
      <c r="C196" s="375"/>
      <c r="D196" s="375">
        <v>1600</v>
      </c>
      <c r="E196" s="229"/>
      <c r="F196" s="229"/>
      <c r="G196" s="230">
        <f t="shared" si="43"/>
        <v>1600</v>
      </c>
      <c r="H196"/>
      <c r="I196" s="404"/>
      <c r="J196" s="324"/>
      <c r="K196"/>
      <c r="L196"/>
    </row>
    <row r="197" spans="1:12" s="80" customFormat="1" ht="33" customHeight="1" x14ac:dyDescent="0.25">
      <c r="A197" s="400" t="s">
        <v>123</v>
      </c>
      <c r="B197" s="318" t="s">
        <v>424</v>
      </c>
      <c r="C197" s="375"/>
      <c r="D197" s="375"/>
      <c r="E197" s="229">
        <f>46.8+93.6</f>
        <v>140.39999999999998</v>
      </c>
      <c r="F197" s="229"/>
      <c r="G197" s="230">
        <f t="shared" si="43"/>
        <v>140.39999999999998</v>
      </c>
      <c r="H197"/>
      <c r="I197" s="404"/>
      <c r="J197" s="324"/>
      <c r="K197"/>
      <c r="L197"/>
    </row>
    <row r="198" spans="1:12" s="80" customFormat="1" ht="60.75" customHeight="1" x14ac:dyDescent="0.25">
      <c r="A198" s="400" t="s">
        <v>123</v>
      </c>
      <c r="B198" s="318" t="s">
        <v>242</v>
      </c>
      <c r="C198" s="375"/>
      <c r="D198" s="375"/>
      <c r="E198" s="229">
        <v>293.60000000000002</v>
      </c>
      <c r="F198" s="229"/>
      <c r="G198" s="230">
        <f t="shared" si="43"/>
        <v>293.60000000000002</v>
      </c>
      <c r="H198" t="s">
        <v>273</v>
      </c>
      <c r="I198" s="404"/>
      <c r="J198" s="324"/>
      <c r="K198"/>
      <c r="L198"/>
    </row>
    <row r="199" spans="1:12" s="80" customFormat="1" ht="51" customHeight="1" x14ac:dyDescent="0.25">
      <c r="A199" s="400"/>
      <c r="B199" s="317" t="s">
        <v>694</v>
      </c>
      <c r="C199" s="375"/>
      <c r="D199" s="375"/>
      <c r="E199" s="229">
        <v>167.5</v>
      </c>
      <c r="F199" s="229"/>
      <c r="G199" s="230">
        <f t="shared" si="43"/>
        <v>167.5</v>
      </c>
      <c r="H199"/>
      <c r="I199" s="404"/>
      <c r="J199" s="324"/>
      <c r="K199"/>
      <c r="L199"/>
    </row>
    <row r="200" spans="1:12" s="80" customFormat="1" ht="31.5" x14ac:dyDescent="0.25">
      <c r="A200" s="390" t="s">
        <v>123</v>
      </c>
      <c r="B200" s="391" t="s">
        <v>883</v>
      </c>
      <c r="C200" s="392"/>
      <c r="D200" s="392">
        <f>1857.71</f>
        <v>1857.71</v>
      </c>
      <c r="E200" s="232"/>
      <c r="F200" s="232">
        <f>+E197+G265+G269+E204+E211+E216+E214+E221+E233</f>
        <v>1686.3000000000002</v>
      </c>
      <c r="G200" s="230">
        <f>D200+C200+E200-F200</f>
        <v>171.40999999999985</v>
      </c>
      <c r="H200" s="79"/>
      <c r="I200" s="404"/>
      <c r="J200" s="324"/>
      <c r="K200"/>
      <c r="L200"/>
    </row>
    <row r="201" spans="1:12" s="80" customFormat="1" x14ac:dyDescent="0.25">
      <c r="A201" s="316">
        <v>2</v>
      </c>
      <c r="B201" s="287" t="s">
        <v>170</v>
      </c>
      <c r="C201" s="373">
        <f>+SUM(C202:C208)</f>
        <v>216.8</v>
      </c>
      <c r="D201" s="373">
        <f t="shared" ref="D201:G201" si="44">+SUM(D202:D208)</f>
        <v>2606.33</v>
      </c>
      <c r="E201" s="373">
        <f t="shared" si="44"/>
        <v>838.66000000000008</v>
      </c>
      <c r="F201" s="373">
        <f t="shared" si="44"/>
        <v>140</v>
      </c>
      <c r="G201" s="373">
        <f t="shared" si="44"/>
        <v>3521.79</v>
      </c>
      <c r="H201"/>
      <c r="I201" s="404"/>
      <c r="J201" s="324"/>
      <c r="K201"/>
      <c r="L201"/>
    </row>
    <row r="202" spans="1:12" s="78" customFormat="1" ht="31.5" x14ac:dyDescent="0.25">
      <c r="A202" s="400" t="s">
        <v>123</v>
      </c>
      <c r="B202" s="318" t="s">
        <v>186</v>
      </c>
      <c r="C202" s="375">
        <v>16.8</v>
      </c>
      <c r="D202" s="375"/>
      <c r="E202" s="229"/>
      <c r="F202" s="229"/>
      <c r="G202" s="230">
        <f t="shared" si="43"/>
        <v>16.8</v>
      </c>
      <c r="I202" s="386"/>
      <c r="J202" s="323"/>
    </row>
    <row r="203" spans="1:12" ht="31.5" x14ac:dyDescent="0.25">
      <c r="A203" s="400" t="s">
        <v>123</v>
      </c>
      <c r="B203" s="318" t="s">
        <v>249</v>
      </c>
      <c r="C203" s="375">
        <v>200</v>
      </c>
      <c r="D203" s="375">
        <v>350</v>
      </c>
      <c r="E203" s="229">
        <v>462.5</v>
      </c>
      <c r="F203" s="229">
        <v>140</v>
      </c>
      <c r="G203" s="230">
        <f t="shared" si="43"/>
        <v>872.5</v>
      </c>
      <c r="I203" s="404"/>
      <c r="J203" s="324"/>
    </row>
    <row r="204" spans="1:12" x14ac:dyDescent="0.25">
      <c r="A204" s="400" t="s">
        <v>123</v>
      </c>
      <c r="B204" s="318" t="s">
        <v>424</v>
      </c>
      <c r="C204" s="375"/>
      <c r="D204" s="375"/>
      <c r="E204" s="229">
        <v>46.8</v>
      </c>
      <c r="F204" s="229"/>
      <c r="G204" s="230">
        <f t="shared" si="43"/>
        <v>46.8</v>
      </c>
      <c r="I204" s="404"/>
      <c r="J204" s="324"/>
    </row>
    <row r="205" spans="1:12" s="80" customFormat="1" ht="47.25" x14ac:dyDescent="0.25">
      <c r="A205" s="400" t="s">
        <v>123</v>
      </c>
      <c r="B205" s="288" t="s">
        <v>265</v>
      </c>
      <c r="C205" s="375"/>
      <c r="D205" s="375"/>
      <c r="E205" s="229">
        <v>249.36</v>
      </c>
      <c r="F205" s="229"/>
      <c r="G205" s="230">
        <f t="shared" si="43"/>
        <v>249.36</v>
      </c>
      <c r="H205" s="79"/>
      <c r="I205" s="404"/>
      <c r="J205" s="324"/>
      <c r="K205"/>
      <c r="L205"/>
    </row>
    <row r="206" spans="1:12" s="80" customFormat="1" ht="31.5" x14ac:dyDescent="0.25">
      <c r="A206" s="400" t="s">
        <v>123</v>
      </c>
      <c r="B206" s="288" t="s">
        <v>660</v>
      </c>
      <c r="C206" s="375"/>
      <c r="D206" s="375"/>
      <c r="E206" s="229">
        <v>50</v>
      </c>
      <c r="F206" s="229"/>
      <c r="G206" s="230">
        <f t="shared" si="43"/>
        <v>50</v>
      </c>
      <c r="H206"/>
      <c r="I206" s="404"/>
      <c r="J206" s="324"/>
      <c r="K206"/>
      <c r="L206"/>
    </row>
    <row r="207" spans="1:12" s="78" customFormat="1" ht="53.25" customHeight="1" x14ac:dyDescent="0.25">
      <c r="A207" s="400" t="s">
        <v>123</v>
      </c>
      <c r="B207" s="318" t="s">
        <v>245</v>
      </c>
      <c r="C207" s="375"/>
      <c r="D207" s="375"/>
      <c r="E207" s="229">
        <v>30</v>
      </c>
      <c r="F207" s="229"/>
      <c r="G207" s="230">
        <f t="shared" si="43"/>
        <v>30</v>
      </c>
      <c r="I207" s="386"/>
      <c r="J207" s="323"/>
    </row>
    <row r="208" spans="1:12" s="80" customFormat="1" ht="31.5" x14ac:dyDescent="0.25">
      <c r="A208" s="400"/>
      <c r="B208" s="391" t="s">
        <v>883</v>
      </c>
      <c r="C208" s="375"/>
      <c r="D208" s="375">
        <f>2256.33</f>
        <v>2256.33</v>
      </c>
      <c r="E208" s="229"/>
      <c r="F208" s="229">
        <v>0</v>
      </c>
      <c r="G208" s="230">
        <f t="shared" si="43"/>
        <v>2256.33</v>
      </c>
      <c r="H208"/>
      <c r="I208" s="404"/>
      <c r="J208" s="324"/>
      <c r="K208"/>
      <c r="L208"/>
    </row>
    <row r="209" spans="1:12" s="80" customFormat="1" x14ac:dyDescent="0.25">
      <c r="A209" s="316">
        <v>3</v>
      </c>
      <c r="B209" s="287" t="s">
        <v>162</v>
      </c>
      <c r="C209" s="373">
        <f xml:space="preserve"> SUM(C210:C212)</f>
        <v>44.4</v>
      </c>
      <c r="D209" s="373">
        <f t="shared" ref="D209:G209" si="45" xml:space="preserve"> SUM(D210:D212)</f>
        <v>266.95999999999998</v>
      </c>
      <c r="E209" s="373">
        <f t="shared" si="45"/>
        <v>187.20000000000002</v>
      </c>
      <c r="F209" s="373">
        <f t="shared" si="45"/>
        <v>0</v>
      </c>
      <c r="G209" s="373">
        <f t="shared" si="45"/>
        <v>498.56</v>
      </c>
      <c r="H209" s="79"/>
      <c r="I209" s="404"/>
      <c r="J209" s="324"/>
      <c r="K209"/>
      <c r="L209"/>
    </row>
    <row r="210" spans="1:12" ht="31.5" x14ac:dyDescent="0.25">
      <c r="A210" s="400" t="s">
        <v>123</v>
      </c>
      <c r="B210" s="318" t="s">
        <v>186</v>
      </c>
      <c r="C210" s="375">
        <v>44.4</v>
      </c>
      <c r="D210" s="375"/>
      <c r="E210" s="229"/>
      <c r="F210" s="229"/>
      <c r="G210" s="230">
        <f t="shared" si="43"/>
        <v>44.4</v>
      </c>
      <c r="I210" s="386"/>
      <c r="J210" s="323"/>
    </row>
    <row r="211" spans="1:12" s="80" customFormat="1" x14ac:dyDescent="0.25">
      <c r="A211" s="400" t="s">
        <v>123</v>
      </c>
      <c r="B211" s="318" t="s">
        <v>424</v>
      </c>
      <c r="C211" s="375"/>
      <c r="D211" s="375"/>
      <c r="E211" s="229">
        <f>163.8+23.4</f>
        <v>187.20000000000002</v>
      </c>
      <c r="F211" s="229"/>
      <c r="G211" s="230">
        <f t="shared" si="43"/>
        <v>187.20000000000002</v>
      </c>
      <c r="H211" s="224"/>
      <c r="I211" s="404"/>
      <c r="J211" s="324"/>
      <c r="K211"/>
      <c r="L211"/>
    </row>
    <row r="212" spans="1:12" ht="31.5" x14ac:dyDescent="0.25">
      <c r="A212" s="400"/>
      <c r="B212" s="391" t="s">
        <v>883</v>
      </c>
      <c r="C212" s="375"/>
      <c r="D212" s="375">
        <f>266.96</f>
        <v>266.95999999999998</v>
      </c>
      <c r="E212" s="229"/>
      <c r="F212" s="229">
        <v>0</v>
      </c>
      <c r="G212" s="230">
        <f t="shared" si="43"/>
        <v>266.95999999999998</v>
      </c>
      <c r="H212" s="224"/>
      <c r="I212" s="404"/>
      <c r="J212" s="324"/>
    </row>
    <row r="213" spans="1:12" x14ac:dyDescent="0.25">
      <c r="A213" s="370">
        <v>4</v>
      </c>
      <c r="B213" s="287" t="s">
        <v>255</v>
      </c>
      <c r="C213" s="373">
        <f>+C214</f>
        <v>0</v>
      </c>
      <c r="D213" s="373">
        <f t="shared" ref="D213:G213" si="46">+D214</f>
        <v>0</v>
      </c>
      <c r="E213" s="373">
        <f t="shared" si="46"/>
        <v>70.2</v>
      </c>
      <c r="F213" s="373">
        <f t="shared" si="46"/>
        <v>0</v>
      </c>
      <c r="G213" s="373">
        <f t="shared" si="46"/>
        <v>70.2</v>
      </c>
      <c r="H213" s="79"/>
      <c r="I213" s="404"/>
      <c r="J213" s="324"/>
    </row>
    <row r="214" spans="1:12" x14ac:dyDescent="0.25">
      <c r="A214" s="400" t="s">
        <v>123</v>
      </c>
      <c r="B214" s="318" t="s">
        <v>424</v>
      </c>
      <c r="C214" s="375"/>
      <c r="D214" s="375"/>
      <c r="E214" s="229">
        <v>70.2</v>
      </c>
      <c r="F214" s="229"/>
      <c r="G214" s="230">
        <f t="shared" si="43"/>
        <v>70.2</v>
      </c>
      <c r="H214" s="287"/>
      <c r="I214" s="404"/>
      <c r="J214" s="324"/>
    </row>
    <row r="215" spans="1:12" x14ac:dyDescent="0.25">
      <c r="A215" s="370">
        <v>5</v>
      </c>
      <c r="B215" s="287" t="s">
        <v>258</v>
      </c>
      <c r="C215" s="373">
        <f>+SUM(C216:C218)</f>
        <v>0</v>
      </c>
      <c r="D215" s="373">
        <f t="shared" ref="D215:G215" si="47">+SUM(D216:D218)</f>
        <v>0</v>
      </c>
      <c r="E215" s="373">
        <f t="shared" si="47"/>
        <v>773.57</v>
      </c>
      <c r="F215" s="373">
        <f t="shared" si="47"/>
        <v>0</v>
      </c>
      <c r="G215" s="373">
        <f t="shared" si="47"/>
        <v>773.57</v>
      </c>
      <c r="H215" s="323"/>
      <c r="I215" s="404"/>
      <c r="J215" s="324"/>
    </row>
    <row r="216" spans="1:12" s="80" customFormat="1" x14ac:dyDescent="0.25">
      <c r="A216" s="400" t="s">
        <v>123</v>
      </c>
      <c r="B216" s="318" t="s">
        <v>424</v>
      </c>
      <c r="C216" s="375"/>
      <c r="D216" s="375"/>
      <c r="E216" s="229">
        <f>163.8+23.4</f>
        <v>187.20000000000002</v>
      </c>
      <c r="F216" s="229"/>
      <c r="G216" s="230">
        <f t="shared" ref="G216:G218" si="48">D216+C216+E216-F216</f>
        <v>187.20000000000002</v>
      </c>
      <c r="H216"/>
      <c r="I216" s="386"/>
      <c r="J216" s="323"/>
      <c r="K216"/>
      <c r="L216"/>
    </row>
    <row r="217" spans="1:12" s="80" customFormat="1" x14ac:dyDescent="0.25">
      <c r="A217" s="400" t="s">
        <v>123</v>
      </c>
      <c r="B217" s="317" t="s">
        <v>259</v>
      </c>
      <c r="C217" s="375"/>
      <c r="D217" s="375"/>
      <c r="E217" s="229">
        <f>222.43+0.14-50+163.8+200</f>
        <v>536.37</v>
      </c>
      <c r="F217" s="229"/>
      <c r="G217" s="230">
        <f t="shared" si="48"/>
        <v>536.37</v>
      </c>
      <c r="H217"/>
      <c r="I217" s="404"/>
      <c r="J217" s="324"/>
      <c r="K217"/>
      <c r="L217"/>
    </row>
    <row r="218" spans="1:12" s="80" customFormat="1" ht="31.5" x14ac:dyDescent="0.25">
      <c r="A218" s="400" t="s">
        <v>123</v>
      </c>
      <c r="B218" s="317" t="s">
        <v>654</v>
      </c>
      <c r="C218" s="375"/>
      <c r="D218" s="375"/>
      <c r="E218" s="229">
        <v>50</v>
      </c>
      <c r="F218" s="229"/>
      <c r="G218" s="230">
        <f t="shared" si="48"/>
        <v>50</v>
      </c>
      <c r="H218"/>
      <c r="I218" s="404"/>
      <c r="J218" s="324"/>
      <c r="K218"/>
      <c r="L218"/>
    </row>
    <row r="219" spans="1:12" s="80" customFormat="1" ht="31.5" x14ac:dyDescent="0.25">
      <c r="A219" s="316" t="s">
        <v>3</v>
      </c>
      <c r="B219" s="287" t="s">
        <v>138</v>
      </c>
      <c r="C219" s="373">
        <f>+SUM(C220:C226)</f>
        <v>0</v>
      </c>
      <c r="D219" s="373">
        <f t="shared" ref="D219:G219" si="49">+SUM(D220:D226)</f>
        <v>951.50400000000002</v>
      </c>
      <c r="E219" s="373">
        <f t="shared" si="49"/>
        <v>647.66000000000008</v>
      </c>
      <c r="F219" s="373">
        <f t="shared" si="49"/>
        <v>0</v>
      </c>
      <c r="G219" s="373">
        <f t="shared" si="49"/>
        <v>1422.3040000000001</v>
      </c>
      <c r="H219"/>
      <c r="I219" s="404"/>
      <c r="J219" s="324"/>
      <c r="K219"/>
      <c r="L219"/>
    </row>
    <row r="220" spans="1:12" s="80" customFormat="1" ht="31.5" x14ac:dyDescent="0.25">
      <c r="A220" s="400" t="s">
        <v>123</v>
      </c>
      <c r="B220" s="318" t="s">
        <v>244</v>
      </c>
      <c r="C220" s="375"/>
      <c r="D220" s="375"/>
      <c r="E220" s="229">
        <v>21.1</v>
      </c>
      <c r="F220" s="229"/>
      <c r="G220" s="230">
        <f>D220+C220+E220-F220</f>
        <v>21.1</v>
      </c>
      <c r="H220" s="79"/>
      <c r="I220" s="404"/>
      <c r="J220" s="324"/>
      <c r="K220"/>
      <c r="L220"/>
    </row>
    <row r="221" spans="1:12" s="80" customFormat="1" x14ac:dyDescent="0.25">
      <c r="A221" s="400" t="s">
        <v>123</v>
      </c>
      <c r="B221" s="318" t="s">
        <v>424</v>
      </c>
      <c r="C221" s="375"/>
      <c r="D221" s="375"/>
      <c r="E221" s="229">
        <v>140.4</v>
      </c>
      <c r="F221" s="229"/>
      <c r="G221" s="230">
        <f t="shared" ref="G221:G226" si="50">D221+C221+E221-F221</f>
        <v>140.4</v>
      </c>
      <c r="H221"/>
      <c r="I221" s="404"/>
      <c r="J221" s="324"/>
      <c r="K221"/>
      <c r="L221"/>
    </row>
    <row r="222" spans="1:12" s="80" customFormat="1" ht="33" customHeight="1" x14ac:dyDescent="0.25">
      <c r="A222" s="400"/>
      <c r="B222" s="318" t="s">
        <v>652</v>
      </c>
      <c r="C222" s="375"/>
      <c r="D222" s="375"/>
      <c r="E222" s="229">
        <f>309.3-100</f>
        <v>209.3</v>
      </c>
      <c r="F222" s="229"/>
      <c r="G222" s="230">
        <f t="shared" si="50"/>
        <v>209.3</v>
      </c>
      <c r="H222" s="318"/>
      <c r="I222" s="406"/>
      <c r="J222" s="324"/>
      <c r="K222"/>
      <c r="L222"/>
    </row>
    <row r="223" spans="1:12" s="80" customFormat="1" ht="31.5" x14ac:dyDescent="0.25">
      <c r="A223" s="400"/>
      <c r="B223" s="318" t="s">
        <v>653</v>
      </c>
      <c r="C223" s="375"/>
      <c r="D223" s="375"/>
      <c r="E223" s="229">
        <f>90-50</f>
        <v>40</v>
      </c>
      <c r="F223" s="229"/>
      <c r="G223" s="230">
        <f t="shared" si="50"/>
        <v>40</v>
      </c>
      <c r="H223"/>
      <c r="I223" s="404"/>
      <c r="J223" s="324"/>
      <c r="K223"/>
      <c r="L223"/>
    </row>
    <row r="224" spans="1:12" s="80" customFormat="1" ht="31.5" x14ac:dyDescent="0.25">
      <c r="A224" s="400"/>
      <c r="B224" s="317" t="s">
        <v>694</v>
      </c>
      <c r="C224" s="375"/>
      <c r="D224" s="375"/>
      <c r="E224" s="229">
        <v>176.86</v>
      </c>
      <c r="F224" s="229"/>
      <c r="G224" s="230"/>
      <c r="H224" s="79"/>
      <c r="I224" s="407"/>
      <c r="J224" s="324"/>
      <c r="K224"/>
      <c r="L224"/>
    </row>
    <row r="225" spans="1:12" s="80" customFormat="1" ht="31.5" x14ac:dyDescent="0.25">
      <c r="A225" s="400" t="s">
        <v>123</v>
      </c>
      <c r="B225" s="318" t="s">
        <v>249</v>
      </c>
      <c r="C225" s="375"/>
      <c r="D225" s="375"/>
      <c r="E225" s="229">
        <v>60</v>
      </c>
      <c r="F225" s="229"/>
      <c r="G225" s="230">
        <f t="shared" si="50"/>
        <v>60</v>
      </c>
      <c r="H225"/>
      <c r="I225" s="386"/>
      <c r="J225" s="323"/>
      <c r="K225"/>
      <c r="L225"/>
    </row>
    <row r="226" spans="1:12" s="80" customFormat="1" ht="31.5" x14ac:dyDescent="0.25">
      <c r="A226" s="400"/>
      <c r="B226" s="391" t="s">
        <v>883</v>
      </c>
      <c r="C226" s="375"/>
      <c r="D226" s="375">
        <v>951.50400000000002</v>
      </c>
      <c r="E226" s="229"/>
      <c r="F226" s="229">
        <v>0</v>
      </c>
      <c r="G226" s="230">
        <f t="shared" si="50"/>
        <v>951.50400000000002</v>
      </c>
      <c r="H226"/>
      <c r="I226" s="404"/>
      <c r="J226" s="324"/>
      <c r="K226"/>
      <c r="L226"/>
    </row>
    <row r="227" spans="1:12" ht="35.25" customHeight="1" x14ac:dyDescent="0.25">
      <c r="A227" s="316" t="s">
        <v>4</v>
      </c>
      <c r="B227" s="287" t="s">
        <v>201</v>
      </c>
      <c r="C227" s="373">
        <f>+SUM(C228:C235)</f>
        <v>0</v>
      </c>
      <c r="D227" s="373">
        <f t="shared" ref="D227:G227" si="51">+SUM(D228:D235)</f>
        <v>466.23</v>
      </c>
      <c r="E227" s="373">
        <f t="shared" si="51"/>
        <v>530.30600000000004</v>
      </c>
      <c r="F227" s="373">
        <f t="shared" si="51"/>
        <v>0</v>
      </c>
      <c r="G227" s="373">
        <f t="shared" si="51"/>
        <v>996.53600000000006</v>
      </c>
      <c r="I227" s="404"/>
      <c r="J227" s="324"/>
    </row>
    <row r="228" spans="1:12" ht="78.75" x14ac:dyDescent="0.25">
      <c r="A228" s="400" t="s">
        <v>123</v>
      </c>
      <c r="B228" s="317" t="s">
        <v>248</v>
      </c>
      <c r="C228" s="375"/>
      <c r="D228" s="375"/>
      <c r="E228" s="229">
        <v>173.066</v>
      </c>
      <c r="F228" s="229"/>
      <c r="G228" s="230">
        <f>D228+C228+E228-F228</f>
        <v>173.066</v>
      </c>
      <c r="I228" s="404"/>
      <c r="J228" s="324"/>
    </row>
    <row r="229" spans="1:12" ht="31.5" x14ac:dyDescent="0.25">
      <c r="A229" s="400"/>
      <c r="B229" s="317" t="s">
        <v>867</v>
      </c>
      <c r="C229" s="375"/>
      <c r="D229" s="375"/>
      <c r="E229" s="229">
        <v>57.9</v>
      </c>
      <c r="F229" s="229"/>
      <c r="G229" s="230">
        <f t="shared" ref="G229:G242" si="52">D229+C229+E229-F229</f>
        <v>57.9</v>
      </c>
      <c r="I229" s="404"/>
      <c r="J229" s="324"/>
    </row>
    <row r="230" spans="1:12" ht="31.5" x14ac:dyDescent="0.25">
      <c r="A230" s="400" t="s">
        <v>123</v>
      </c>
      <c r="B230" s="318" t="s">
        <v>249</v>
      </c>
      <c r="C230" s="375"/>
      <c r="D230" s="375"/>
      <c r="E230" s="229">
        <v>50</v>
      </c>
      <c r="F230" s="229"/>
      <c r="G230" s="230">
        <f t="shared" si="52"/>
        <v>50</v>
      </c>
      <c r="I230" s="404"/>
      <c r="J230" s="324"/>
    </row>
    <row r="231" spans="1:12" s="80" customFormat="1" ht="31.5" x14ac:dyDescent="0.25">
      <c r="A231" s="400"/>
      <c r="B231" s="317" t="s">
        <v>694</v>
      </c>
      <c r="C231" s="375"/>
      <c r="D231" s="375"/>
      <c r="E231" s="229">
        <f>302.8-E224</f>
        <v>125.94</v>
      </c>
      <c r="F231" s="229"/>
      <c r="G231" s="230">
        <f t="shared" si="52"/>
        <v>125.94</v>
      </c>
      <c r="H231" s="79">
        <f>+G231+G218+G212+G209+G204+G197+G188</f>
        <v>1178.6599999999999</v>
      </c>
      <c r="I231" s="404"/>
      <c r="J231" s="324"/>
      <c r="K231"/>
      <c r="L231"/>
    </row>
    <row r="232" spans="1:12" s="80" customFormat="1" ht="31.5" x14ac:dyDescent="0.25">
      <c r="A232" s="400" t="s">
        <v>123</v>
      </c>
      <c r="B232" s="318" t="s">
        <v>661</v>
      </c>
      <c r="C232" s="375"/>
      <c r="D232" s="375"/>
      <c r="E232" s="229">
        <v>100</v>
      </c>
      <c r="F232" s="229"/>
      <c r="G232" s="230">
        <f t="shared" si="52"/>
        <v>100</v>
      </c>
      <c r="H232"/>
      <c r="I232" s="404"/>
      <c r="J232" s="324"/>
      <c r="K232"/>
      <c r="L232"/>
    </row>
    <row r="233" spans="1:12" s="80" customFormat="1" x14ac:dyDescent="0.25">
      <c r="A233" s="400" t="s">
        <v>123</v>
      </c>
      <c r="B233" s="318" t="s">
        <v>424</v>
      </c>
      <c r="C233" s="375"/>
      <c r="D233" s="375"/>
      <c r="E233" s="229">
        <v>23.4</v>
      </c>
      <c r="F233" s="229"/>
      <c r="G233" s="230">
        <f t="shared" si="52"/>
        <v>23.4</v>
      </c>
      <c r="H233"/>
      <c r="I233" s="404"/>
      <c r="J233" s="324"/>
      <c r="K233"/>
      <c r="L233"/>
    </row>
    <row r="234" spans="1:12" s="78" customFormat="1" x14ac:dyDescent="0.25">
      <c r="A234" s="400" t="s">
        <v>123</v>
      </c>
      <c r="B234" s="317" t="s">
        <v>422</v>
      </c>
      <c r="C234" s="375"/>
      <c r="D234" s="375">
        <v>25</v>
      </c>
      <c r="E234" s="229"/>
      <c r="F234" s="229"/>
      <c r="G234" s="230">
        <f t="shared" si="52"/>
        <v>25</v>
      </c>
      <c r="I234" s="386"/>
      <c r="J234" s="323"/>
    </row>
    <row r="235" spans="1:12" s="78" customFormat="1" ht="31.5" x14ac:dyDescent="0.25">
      <c r="A235" s="400"/>
      <c r="B235" s="391" t="s">
        <v>883</v>
      </c>
      <c r="C235" s="375"/>
      <c r="D235" s="375">
        <v>441.23</v>
      </c>
      <c r="E235" s="229"/>
      <c r="F235" s="229">
        <v>0</v>
      </c>
      <c r="G235" s="230">
        <f t="shared" si="52"/>
        <v>441.23</v>
      </c>
      <c r="I235" s="386"/>
      <c r="J235" s="323"/>
    </row>
    <row r="236" spans="1:12" x14ac:dyDescent="0.25">
      <c r="A236" s="316" t="s">
        <v>5</v>
      </c>
      <c r="B236" s="287" t="s">
        <v>169</v>
      </c>
      <c r="C236" s="373">
        <f>+C237+C240</f>
        <v>707.9</v>
      </c>
      <c r="D236" s="373">
        <f t="shared" ref="D236:G236" si="53">+D237+D240</f>
        <v>0</v>
      </c>
      <c r="E236" s="373">
        <f t="shared" si="53"/>
        <v>156.32999999999998</v>
      </c>
      <c r="F236" s="373">
        <f t="shared" si="53"/>
        <v>0</v>
      </c>
      <c r="G236" s="373">
        <f t="shared" si="53"/>
        <v>864.23</v>
      </c>
      <c r="I236" s="404"/>
      <c r="J236" s="324"/>
    </row>
    <row r="237" spans="1:12" s="80" customFormat="1" x14ac:dyDescent="0.25">
      <c r="A237" s="370">
        <v>1</v>
      </c>
      <c r="B237" s="287" t="s">
        <v>216</v>
      </c>
      <c r="C237" s="373">
        <f>+SUM(C238:C239)</f>
        <v>707.9</v>
      </c>
      <c r="D237" s="373">
        <f t="shared" ref="D237:G237" si="54">+SUM(D238:D239)</f>
        <v>0</v>
      </c>
      <c r="E237" s="373">
        <f t="shared" si="54"/>
        <v>12</v>
      </c>
      <c r="F237" s="373">
        <f t="shared" si="54"/>
        <v>0</v>
      </c>
      <c r="G237" s="373">
        <f t="shared" si="54"/>
        <v>719.9</v>
      </c>
      <c r="H237"/>
      <c r="I237" s="404"/>
      <c r="J237" s="324"/>
      <c r="K237"/>
      <c r="L237"/>
    </row>
    <row r="238" spans="1:12" ht="31.5" x14ac:dyDescent="0.25">
      <c r="A238" s="400" t="s">
        <v>123</v>
      </c>
      <c r="B238" s="317" t="s">
        <v>217</v>
      </c>
      <c r="C238" s="375">
        <v>707.9</v>
      </c>
      <c r="D238" s="375"/>
      <c r="E238" s="229"/>
      <c r="F238" s="229"/>
      <c r="G238" s="230">
        <f>D238+C238+E238-F238</f>
        <v>707.9</v>
      </c>
      <c r="I238" s="386"/>
      <c r="J238" s="323"/>
    </row>
    <row r="239" spans="1:12" s="80" customFormat="1" ht="47.25" x14ac:dyDescent="0.25">
      <c r="A239" s="400" t="s">
        <v>123</v>
      </c>
      <c r="B239" s="325" t="s">
        <v>267</v>
      </c>
      <c r="C239" s="375"/>
      <c r="D239" s="375"/>
      <c r="E239" s="229">
        <v>12</v>
      </c>
      <c r="F239" s="229"/>
      <c r="G239" s="230">
        <f>D239+C239+E239-F239</f>
        <v>12</v>
      </c>
      <c r="H239"/>
      <c r="I239" s="404"/>
      <c r="J239" s="324"/>
      <c r="K239"/>
      <c r="L239"/>
    </row>
    <row r="240" spans="1:12" s="80" customFormat="1" x14ac:dyDescent="0.25">
      <c r="A240" s="370">
        <v>2</v>
      </c>
      <c r="B240" s="287" t="s">
        <v>170</v>
      </c>
      <c r="C240" s="373">
        <f>+SUM(C241:C242)</f>
        <v>0</v>
      </c>
      <c r="D240" s="373">
        <f t="shared" ref="D240:F240" si="55">+SUM(D241:D242)</f>
        <v>0</v>
      </c>
      <c r="E240" s="373">
        <f t="shared" si="55"/>
        <v>144.32999999999998</v>
      </c>
      <c r="F240" s="373">
        <f t="shared" si="55"/>
        <v>0</v>
      </c>
      <c r="G240" s="373">
        <f>+SUM(G241:G242)</f>
        <v>144.32999999999998</v>
      </c>
      <c r="H240"/>
      <c r="I240" s="404"/>
      <c r="J240" s="324"/>
      <c r="K240"/>
      <c r="L240"/>
    </row>
    <row r="241" spans="1:12" s="80" customFormat="1" ht="47.25" x14ac:dyDescent="0.25">
      <c r="A241" s="400" t="s">
        <v>123</v>
      </c>
      <c r="B241" s="317" t="s">
        <v>247</v>
      </c>
      <c r="C241" s="375"/>
      <c r="D241" s="375"/>
      <c r="E241" s="229">
        <f>132.45+2.4</f>
        <v>134.85</v>
      </c>
      <c r="F241" s="229"/>
      <c r="G241" s="230">
        <f>D241+C241+E241-F241</f>
        <v>134.85</v>
      </c>
      <c r="H241"/>
      <c r="I241"/>
      <c r="J241"/>
      <c r="K241"/>
      <c r="L241"/>
    </row>
    <row r="242" spans="1:12" s="80" customFormat="1" ht="47.25" x14ac:dyDescent="0.25">
      <c r="A242" s="400" t="s">
        <v>123</v>
      </c>
      <c r="B242" s="325" t="s">
        <v>266</v>
      </c>
      <c r="C242" s="375"/>
      <c r="D242" s="375"/>
      <c r="E242" s="229">
        <v>9.48</v>
      </c>
      <c r="F242" s="229"/>
      <c r="G242" s="230">
        <f t="shared" si="52"/>
        <v>9.48</v>
      </c>
      <c r="H242"/>
      <c r="I242"/>
      <c r="J242"/>
      <c r="K242"/>
      <c r="L242"/>
    </row>
    <row r="243" spans="1:12" s="80" customFormat="1" x14ac:dyDescent="0.25">
      <c r="A243" s="316" t="s">
        <v>6</v>
      </c>
      <c r="B243" s="287" t="s">
        <v>210</v>
      </c>
      <c r="C243" s="373">
        <f>+SUM(C244:C257)</f>
        <v>16508.599999999999</v>
      </c>
      <c r="D243" s="373">
        <f t="shared" ref="D243:F243" si="56">+SUM(D244:D257)</f>
        <v>78.117999999999995</v>
      </c>
      <c r="E243" s="373">
        <f t="shared" si="56"/>
        <v>5302.14</v>
      </c>
      <c r="F243" s="373">
        <f t="shared" si="56"/>
        <v>5302.14</v>
      </c>
      <c r="G243" s="373">
        <f>+SUM(G244:G257)</f>
        <v>16586.718000000001</v>
      </c>
      <c r="H243" s="402"/>
      <c r="I243"/>
      <c r="J243"/>
      <c r="K243"/>
      <c r="L243"/>
    </row>
    <row r="244" spans="1:12" s="80" customFormat="1" x14ac:dyDescent="0.25">
      <c r="A244" s="398">
        <v>1</v>
      </c>
      <c r="B244" s="379" t="s">
        <v>148</v>
      </c>
      <c r="C244" s="372">
        <v>1903</v>
      </c>
      <c r="D244" s="372"/>
      <c r="E244" s="229"/>
      <c r="F244" s="229">
        <v>1712.41</v>
      </c>
      <c r="G244" s="230">
        <f t="shared" ref="G244:G269" si="57">D244+C244+E244-F244</f>
        <v>190.58999999999992</v>
      </c>
      <c r="H244" s="221">
        <v>190595237</v>
      </c>
      <c r="I244"/>
      <c r="J244"/>
      <c r="K244"/>
      <c r="L244"/>
    </row>
    <row r="245" spans="1:12" s="80" customFormat="1" x14ac:dyDescent="0.25">
      <c r="A245" s="398">
        <v>2</v>
      </c>
      <c r="B245" s="379" t="s">
        <v>149</v>
      </c>
      <c r="C245" s="372">
        <v>985</v>
      </c>
      <c r="D245" s="372"/>
      <c r="E245" s="229"/>
      <c r="F245" s="229">
        <v>832.67</v>
      </c>
      <c r="G245" s="230">
        <f t="shared" si="57"/>
        <v>152.33000000000004</v>
      </c>
      <c r="H245" s="221">
        <v>152331029</v>
      </c>
      <c r="I245"/>
      <c r="J245"/>
      <c r="K245"/>
      <c r="L245"/>
    </row>
    <row r="246" spans="1:12" s="80" customFormat="1" x14ac:dyDescent="0.25">
      <c r="A246" s="398">
        <v>3</v>
      </c>
      <c r="B246" s="379" t="s">
        <v>150</v>
      </c>
      <c r="C246" s="383">
        <v>458</v>
      </c>
      <c r="D246" s="372"/>
      <c r="E246" s="232"/>
      <c r="F246" s="232"/>
      <c r="G246" s="230">
        <f t="shared" si="57"/>
        <v>458</v>
      </c>
      <c r="H246" s="221"/>
      <c r="I246"/>
      <c r="J246"/>
      <c r="K246"/>
      <c r="L246"/>
    </row>
    <row r="247" spans="1:12" s="80" customFormat="1" x14ac:dyDescent="0.25">
      <c r="A247" s="398">
        <v>4</v>
      </c>
      <c r="B247" s="379" t="s">
        <v>151</v>
      </c>
      <c r="C247" s="372">
        <v>508</v>
      </c>
      <c r="D247" s="372"/>
      <c r="E247" s="229"/>
      <c r="F247" s="229"/>
      <c r="G247" s="230">
        <f t="shared" si="57"/>
        <v>508</v>
      </c>
      <c r="H247" s="221"/>
      <c r="I247"/>
      <c r="J247"/>
      <c r="K247"/>
      <c r="L247"/>
    </row>
    <row r="248" spans="1:12" s="80" customFormat="1" x14ac:dyDescent="0.25">
      <c r="A248" s="398">
        <v>5</v>
      </c>
      <c r="B248" s="379" t="s">
        <v>152</v>
      </c>
      <c r="C248" s="372">
        <v>4207</v>
      </c>
      <c r="D248" s="372"/>
      <c r="E248" s="229"/>
      <c r="F248" s="229"/>
      <c r="G248" s="230">
        <f t="shared" si="57"/>
        <v>4207</v>
      </c>
      <c r="H248" s="221"/>
      <c r="I248"/>
      <c r="J248"/>
      <c r="K248"/>
      <c r="L248"/>
    </row>
    <row r="249" spans="1:12" s="80" customFormat="1" x14ac:dyDescent="0.25">
      <c r="A249" s="398">
        <v>6</v>
      </c>
      <c r="B249" s="379" t="s">
        <v>153</v>
      </c>
      <c r="C249" s="372">
        <v>2251</v>
      </c>
      <c r="D249" s="372"/>
      <c r="E249" s="229"/>
      <c r="F249" s="229"/>
      <c r="G249" s="230">
        <f t="shared" si="57"/>
        <v>2251</v>
      </c>
      <c r="H249" s="221"/>
      <c r="I249"/>
      <c r="J249"/>
      <c r="K249"/>
      <c r="L249"/>
    </row>
    <row r="250" spans="1:12" s="80" customFormat="1" x14ac:dyDescent="0.25">
      <c r="A250" s="398">
        <v>7</v>
      </c>
      <c r="B250" s="379" t="s">
        <v>211</v>
      </c>
      <c r="C250" s="372">
        <v>587</v>
      </c>
      <c r="D250" s="372"/>
      <c r="E250" s="229"/>
      <c r="F250" s="229"/>
      <c r="G250" s="230">
        <f t="shared" si="57"/>
        <v>587</v>
      </c>
      <c r="H250" s="402"/>
      <c r="I250"/>
      <c r="J250"/>
      <c r="K250"/>
      <c r="L250"/>
    </row>
    <row r="251" spans="1:12" s="80" customFormat="1" x14ac:dyDescent="0.25">
      <c r="A251" s="398">
        <v>8</v>
      </c>
      <c r="B251" s="379" t="s">
        <v>154</v>
      </c>
      <c r="C251" s="372">
        <v>411</v>
      </c>
      <c r="D251" s="372"/>
      <c r="E251" s="229"/>
      <c r="F251" s="229"/>
      <c r="G251" s="230">
        <f t="shared" si="57"/>
        <v>411</v>
      </c>
      <c r="H251" s="402"/>
      <c r="I251"/>
      <c r="J251"/>
      <c r="K251"/>
      <c r="L251"/>
    </row>
    <row r="252" spans="1:12" s="80" customFormat="1" x14ac:dyDescent="0.25">
      <c r="A252" s="398">
        <v>9</v>
      </c>
      <c r="B252" s="379" t="s">
        <v>155</v>
      </c>
      <c r="C252" s="372">
        <v>2157.6</v>
      </c>
      <c r="D252" s="372"/>
      <c r="E252" s="229"/>
      <c r="F252" s="229"/>
      <c r="G252" s="230">
        <f t="shared" si="57"/>
        <v>2157.6</v>
      </c>
      <c r="H252"/>
      <c r="I252"/>
      <c r="J252"/>
      <c r="K252"/>
      <c r="L252"/>
    </row>
    <row r="253" spans="1:12" s="80" customFormat="1" x14ac:dyDescent="0.25">
      <c r="A253" s="398">
        <v>10</v>
      </c>
      <c r="B253" s="379" t="s">
        <v>156</v>
      </c>
      <c r="C253" s="372">
        <v>1625</v>
      </c>
      <c r="D253" s="372"/>
      <c r="E253" s="375"/>
      <c r="F253" s="375">
        <v>1478.67</v>
      </c>
      <c r="G253" s="230">
        <f t="shared" si="57"/>
        <v>146.32999999999993</v>
      </c>
      <c r="H253" s="221">
        <v>146325921</v>
      </c>
      <c r="I253"/>
      <c r="J253"/>
      <c r="K253"/>
      <c r="L253"/>
    </row>
    <row r="254" spans="1:12" s="80" customFormat="1" x14ac:dyDescent="0.25">
      <c r="A254" s="398">
        <v>11</v>
      </c>
      <c r="B254" s="379" t="s">
        <v>157</v>
      </c>
      <c r="C254" s="372">
        <v>1416</v>
      </c>
      <c r="D254" s="372"/>
      <c r="E254" s="375"/>
      <c r="F254" s="375">
        <v>1278.3900000000001</v>
      </c>
      <c r="G254" s="230">
        <f t="shared" si="57"/>
        <v>137.6099999999999</v>
      </c>
      <c r="H254" s="221">
        <v>137610906</v>
      </c>
      <c r="I254"/>
      <c r="J254"/>
      <c r="K254"/>
      <c r="L254"/>
    </row>
    <row r="255" spans="1:12" s="80" customFormat="1" ht="31.5" x14ac:dyDescent="0.25">
      <c r="A255" s="398">
        <v>12</v>
      </c>
      <c r="B255" s="379" t="s">
        <v>850</v>
      </c>
      <c r="C255" s="372"/>
      <c r="D255" s="372"/>
      <c r="E255" s="375">
        <f>F244+F245</f>
        <v>2545.08</v>
      </c>
      <c r="F255" s="375"/>
      <c r="G255" s="230">
        <f t="shared" si="57"/>
        <v>2545.08</v>
      </c>
      <c r="H255" s="79"/>
      <c r="I255"/>
      <c r="J255"/>
      <c r="K255"/>
      <c r="L255"/>
    </row>
    <row r="256" spans="1:12" s="81" customFormat="1" ht="31.5" x14ac:dyDescent="0.25">
      <c r="A256" s="398">
        <v>13</v>
      </c>
      <c r="B256" s="379" t="s">
        <v>851</v>
      </c>
      <c r="C256" s="372"/>
      <c r="D256" s="372"/>
      <c r="E256" s="375">
        <f>+F254+F253</f>
        <v>2757.0600000000004</v>
      </c>
      <c r="F256" s="375"/>
      <c r="G256" s="230">
        <f t="shared" si="57"/>
        <v>2757.0600000000004</v>
      </c>
      <c r="H256" s="381">
        <f>+G243-C243</f>
        <v>78.118000000002212</v>
      </c>
      <c r="I256" s="381">
        <f>+H256-G243</f>
        <v>-16508.599999999999</v>
      </c>
      <c r="J256" s="78"/>
      <c r="K256" s="78"/>
      <c r="L256" s="78"/>
    </row>
    <row r="257" spans="1:12" s="81" customFormat="1" ht="31.5" x14ac:dyDescent="0.25">
      <c r="A257" s="398"/>
      <c r="B257" s="391" t="s">
        <v>883</v>
      </c>
      <c r="C257" s="372"/>
      <c r="D257" s="372">
        <f>78.118</f>
        <v>78.117999999999995</v>
      </c>
      <c r="E257" s="375"/>
      <c r="F257" s="375"/>
      <c r="G257" s="230">
        <f t="shared" si="57"/>
        <v>78.117999999999995</v>
      </c>
      <c r="H257" s="78"/>
      <c r="I257" s="78"/>
      <c r="J257" s="78"/>
      <c r="K257" s="78"/>
      <c r="L257" s="78"/>
    </row>
    <row r="258" spans="1:12" s="80" customFormat="1" x14ac:dyDescent="0.25">
      <c r="A258" s="316" t="s">
        <v>277</v>
      </c>
      <c r="B258" s="320" t="s">
        <v>165</v>
      </c>
      <c r="C258" s="371">
        <f>+C259</f>
        <v>0</v>
      </c>
      <c r="D258" s="371">
        <f>+D259</f>
        <v>9.3000000000000007</v>
      </c>
      <c r="E258" s="371">
        <f t="shared" ref="E258:G258" si="58">+E259</f>
        <v>52.243000000000002</v>
      </c>
      <c r="F258" s="371">
        <f t="shared" si="58"/>
        <v>0</v>
      </c>
      <c r="G258" s="371">
        <f t="shared" si="58"/>
        <v>61.543000000000006</v>
      </c>
      <c r="H258"/>
      <c r="I258"/>
      <c r="J258"/>
      <c r="K258"/>
      <c r="L258"/>
    </row>
    <row r="259" spans="1:12" s="80" customFormat="1" x14ac:dyDescent="0.25">
      <c r="A259" s="316">
        <v>1</v>
      </c>
      <c r="B259" s="287" t="s">
        <v>166</v>
      </c>
      <c r="C259" s="371">
        <f>+SUM(C260:C261)</f>
        <v>0</v>
      </c>
      <c r="D259" s="371">
        <f>+SUM(D260:D261)</f>
        <v>9.3000000000000007</v>
      </c>
      <c r="E259" s="371">
        <f t="shared" ref="E259:G259" si="59">+SUM(E260:E261)</f>
        <v>52.243000000000002</v>
      </c>
      <c r="F259" s="371">
        <f t="shared" si="59"/>
        <v>0</v>
      </c>
      <c r="G259" s="371">
        <f t="shared" si="59"/>
        <v>61.543000000000006</v>
      </c>
      <c r="H259"/>
      <c r="I259"/>
      <c r="J259"/>
      <c r="K259"/>
      <c r="L259"/>
    </row>
    <row r="260" spans="1:12" s="78" customFormat="1" ht="31.5" x14ac:dyDescent="0.25">
      <c r="A260" s="398"/>
      <c r="B260" s="379" t="s">
        <v>825</v>
      </c>
      <c r="C260" s="372"/>
      <c r="D260" s="372"/>
      <c r="E260" s="375">
        <v>52.243000000000002</v>
      </c>
      <c r="F260" s="375"/>
      <c r="G260" s="230">
        <f t="shared" si="57"/>
        <v>52.243000000000002</v>
      </c>
    </row>
    <row r="261" spans="1:12" s="78" customFormat="1" ht="31.5" x14ac:dyDescent="0.25">
      <c r="A261" s="398"/>
      <c r="B261" s="391" t="s">
        <v>871</v>
      </c>
      <c r="C261" s="372"/>
      <c r="D261" s="372">
        <v>9.3000000000000007</v>
      </c>
      <c r="E261" s="375"/>
      <c r="F261" s="375"/>
      <c r="G261" s="230">
        <f t="shared" si="57"/>
        <v>9.3000000000000007</v>
      </c>
    </row>
    <row r="262" spans="1:12" s="78" customFormat="1" x14ac:dyDescent="0.25">
      <c r="A262" s="316" t="s">
        <v>8</v>
      </c>
      <c r="B262" s="287" t="s">
        <v>228</v>
      </c>
      <c r="C262" s="371">
        <f>+C264+C267+C263</f>
        <v>0</v>
      </c>
      <c r="D262" s="371">
        <f t="shared" ref="D262:G262" si="60">+D264+D267+D263</f>
        <v>0</v>
      </c>
      <c r="E262" s="371">
        <f t="shared" si="60"/>
        <v>4025.6029999999996</v>
      </c>
      <c r="F262" s="371">
        <f t="shared" si="60"/>
        <v>652.74</v>
      </c>
      <c r="G262" s="371">
        <f t="shared" si="60"/>
        <v>3372.8629999999998</v>
      </c>
    </row>
    <row r="263" spans="1:12" s="78" customFormat="1" ht="47.25" x14ac:dyDescent="0.25">
      <c r="A263" s="316" t="s">
        <v>123</v>
      </c>
      <c r="B263" s="382" t="s">
        <v>839</v>
      </c>
      <c r="C263" s="384"/>
      <c r="D263" s="384"/>
      <c r="E263" s="343">
        <v>642.16300000000001</v>
      </c>
      <c r="F263" s="343"/>
      <c r="G263" s="234">
        <f>D263+C263+E263-F263</f>
        <v>642.16300000000001</v>
      </c>
    </row>
    <row r="264" spans="1:12" s="80" customFormat="1" x14ac:dyDescent="0.25">
      <c r="A264" s="316">
        <v>1</v>
      </c>
      <c r="B264" s="287" t="s">
        <v>226</v>
      </c>
      <c r="C264" s="371">
        <f>+C265+C266</f>
        <v>0</v>
      </c>
      <c r="D264" s="371">
        <f t="shared" ref="D264:G264" si="61">+D265+D266</f>
        <v>0</v>
      </c>
      <c r="E264" s="371">
        <f t="shared" si="61"/>
        <v>1180.7</v>
      </c>
      <c r="F264" s="371">
        <f t="shared" si="61"/>
        <v>652.74</v>
      </c>
      <c r="G264" s="371">
        <f t="shared" si="61"/>
        <v>527.96</v>
      </c>
      <c r="H264" s="79">
        <f>+G264+G269</f>
        <v>1180.7</v>
      </c>
      <c r="I264"/>
      <c r="J264"/>
      <c r="K264"/>
      <c r="L264"/>
    </row>
    <row r="265" spans="1:12" s="80" customFormat="1" ht="78.75" x14ac:dyDescent="0.25">
      <c r="A265" s="398" t="s">
        <v>123</v>
      </c>
      <c r="B265" s="317" t="s">
        <v>281</v>
      </c>
      <c r="C265" s="372"/>
      <c r="D265" s="372"/>
      <c r="E265" s="229">
        <f>890.7</f>
        <v>890.7</v>
      </c>
      <c r="F265" s="229">
        <f>+E269</f>
        <v>652.74</v>
      </c>
      <c r="G265" s="230">
        <f t="shared" si="57"/>
        <v>237.96000000000004</v>
      </c>
      <c r="H265"/>
      <c r="I265"/>
      <c r="J265"/>
      <c r="K265"/>
      <c r="L265"/>
    </row>
    <row r="266" spans="1:12" s="80" customFormat="1" x14ac:dyDescent="0.25">
      <c r="A266" s="398" t="s">
        <v>123</v>
      </c>
      <c r="B266" s="318" t="s">
        <v>680</v>
      </c>
      <c r="C266" s="372"/>
      <c r="D266" s="372"/>
      <c r="E266" s="229">
        <v>290</v>
      </c>
      <c r="F266" s="229"/>
      <c r="G266" s="230">
        <f t="shared" si="57"/>
        <v>290</v>
      </c>
      <c r="H266" s="317" t="s">
        <v>405</v>
      </c>
      <c r="I266"/>
      <c r="J266"/>
      <c r="K266"/>
      <c r="L266"/>
    </row>
    <row r="267" spans="1:12" s="80" customFormat="1" x14ac:dyDescent="0.25">
      <c r="A267" s="398">
        <v>2</v>
      </c>
      <c r="B267" s="290" t="s">
        <v>651</v>
      </c>
      <c r="C267" s="371">
        <f>+C268+C269</f>
        <v>0</v>
      </c>
      <c r="D267" s="371">
        <f t="shared" ref="D267:G267" si="62">+D268+D269</f>
        <v>0</v>
      </c>
      <c r="E267" s="371">
        <f t="shared" si="62"/>
        <v>2202.7399999999998</v>
      </c>
      <c r="F267" s="371">
        <f t="shared" si="62"/>
        <v>0</v>
      </c>
      <c r="G267" s="371">
        <f t="shared" si="62"/>
        <v>2202.7399999999998</v>
      </c>
      <c r="H267" s="324"/>
      <c r="I267"/>
      <c r="J267"/>
      <c r="K267"/>
      <c r="L267"/>
    </row>
    <row r="268" spans="1:12" s="80" customFormat="1" x14ac:dyDescent="0.25">
      <c r="A268" s="398" t="s">
        <v>123</v>
      </c>
      <c r="B268" s="385" t="s">
        <v>650</v>
      </c>
      <c r="C268" s="372"/>
      <c r="D268" s="372"/>
      <c r="E268" s="229">
        <v>1550</v>
      </c>
      <c r="F268" s="229"/>
      <c r="G268" s="230">
        <f t="shared" si="57"/>
        <v>1550</v>
      </c>
      <c r="H268" s="324"/>
      <c r="I268"/>
      <c r="J268"/>
      <c r="K268"/>
      <c r="L268"/>
    </row>
    <row r="269" spans="1:12" s="80" customFormat="1" ht="63" x14ac:dyDescent="0.25">
      <c r="A269" s="398" t="s">
        <v>123</v>
      </c>
      <c r="B269" s="385" t="s">
        <v>659</v>
      </c>
      <c r="C269" s="372"/>
      <c r="D269" s="372"/>
      <c r="E269" s="229">
        <v>652.74</v>
      </c>
      <c r="F269" s="229"/>
      <c r="G269" s="230">
        <f t="shared" si="57"/>
        <v>652.74</v>
      </c>
      <c r="H269" s="393">
        <f>+G269+G264</f>
        <v>1180.7</v>
      </c>
      <c r="I269"/>
      <c r="J269"/>
      <c r="K269"/>
      <c r="L269"/>
    </row>
    <row r="270" spans="1:12" s="78" customFormat="1" x14ac:dyDescent="0.25">
      <c r="A270" s="316" t="s">
        <v>9</v>
      </c>
      <c r="B270" s="287" t="s">
        <v>173</v>
      </c>
      <c r="C270" s="394">
        <f>+C271</f>
        <v>0</v>
      </c>
      <c r="D270" s="223"/>
      <c r="E270" s="150">
        <f>+E271</f>
        <v>52.84</v>
      </c>
      <c r="F270" s="150">
        <f t="shared" ref="F270:G270" si="63">+F271</f>
        <v>0</v>
      </c>
      <c r="G270" s="150">
        <f t="shared" si="63"/>
        <v>52.84</v>
      </c>
    </row>
    <row r="271" spans="1:12" s="78" customFormat="1" x14ac:dyDescent="0.25">
      <c r="A271" s="316">
        <v>1</v>
      </c>
      <c r="B271" s="287" t="s">
        <v>218</v>
      </c>
      <c r="C271" s="394">
        <f>+SUM(C272:C274)</f>
        <v>0</v>
      </c>
      <c r="D271" s="394">
        <f>+SUM(D272:D274)</f>
        <v>0</v>
      </c>
      <c r="E271" s="394">
        <f>+SUM(E272:E274)</f>
        <v>52.84</v>
      </c>
      <c r="F271" s="394">
        <f>+SUM(F272:F274)</f>
        <v>0</v>
      </c>
      <c r="G271" s="394">
        <f>+SUM(G272:G274)</f>
        <v>52.84</v>
      </c>
      <c r="H271" s="395">
        <f>+E270+E139</f>
        <v>52.84</v>
      </c>
    </row>
    <row r="272" spans="1:12" s="80" customFormat="1" ht="31.5" x14ac:dyDescent="0.25">
      <c r="A272" s="398" t="s">
        <v>123</v>
      </c>
      <c r="B272" s="317" t="s">
        <v>243</v>
      </c>
      <c r="C272" s="233"/>
      <c r="D272" s="233"/>
      <c r="E272" s="233">
        <v>20</v>
      </c>
      <c r="F272" s="233"/>
      <c r="G272" s="230">
        <f>D272+C272+E272-F272</f>
        <v>20</v>
      </c>
      <c r="H272"/>
      <c r="I272"/>
      <c r="J272"/>
      <c r="K272"/>
      <c r="L272"/>
    </row>
    <row r="273" spans="1:12" s="80" customFormat="1" ht="78.75" x14ac:dyDescent="0.25">
      <c r="A273" s="398" t="s">
        <v>123</v>
      </c>
      <c r="B273" s="317" t="s">
        <v>264</v>
      </c>
      <c r="C273" s="372"/>
      <c r="D273" s="372"/>
      <c r="E273" s="229">
        <v>30</v>
      </c>
      <c r="F273" s="229"/>
      <c r="G273" s="230">
        <f t="shared" ref="G273" si="64">D273+C273+E273-F273</f>
        <v>30</v>
      </c>
      <c r="H273"/>
      <c r="I273"/>
      <c r="J273"/>
      <c r="K273"/>
      <c r="L273"/>
    </row>
    <row r="274" spans="1:12" x14ac:dyDescent="0.25">
      <c r="A274" s="398" t="s">
        <v>123</v>
      </c>
      <c r="B274" s="317" t="s">
        <v>246</v>
      </c>
      <c r="C274" s="233"/>
      <c r="D274" s="233"/>
      <c r="E274" s="405">
        <v>2.84</v>
      </c>
      <c r="F274" s="233"/>
      <c r="G274" s="230">
        <f>D274+C274+E274-F274</f>
        <v>2.84</v>
      </c>
    </row>
    <row r="275" spans="1:12" s="81" customFormat="1" x14ac:dyDescent="0.25">
      <c r="A275" s="329" t="s">
        <v>884</v>
      </c>
      <c r="B275" s="287" t="s">
        <v>268</v>
      </c>
      <c r="C275" s="371">
        <f>+C276</f>
        <v>0</v>
      </c>
      <c r="D275" s="371">
        <f>+D276</f>
        <v>8023.7</v>
      </c>
      <c r="E275" s="371">
        <f t="shared" ref="E275:G275" si="65">+E276</f>
        <v>0</v>
      </c>
      <c r="F275" s="371">
        <f t="shared" si="65"/>
        <v>0</v>
      </c>
      <c r="G275" s="371">
        <f t="shared" si="65"/>
        <v>8023.7</v>
      </c>
      <c r="H275" s="78"/>
      <c r="I275" s="78"/>
      <c r="J275" s="78"/>
      <c r="K275" s="78"/>
      <c r="L275" s="78"/>
    </row>
    <row r="276" spans="1:12" s="80" customFormat="1" ht="31.5" x14ac:dyDescent="0.25">
      <c r="A276" s="329" t="s">
        <v>123</v>
      </c>
      <c r="B276" s="287" t="s">
        <v>419</v>
      </c>
      <c r="C276" s="371">
        <f>+C277+C278</f>
        <v>0</v>
      </c>
      <c r="D276" s="371">
        <f>+D277+D278</f>
        <v>8023.7</v>
      </c>
      <c r="E276" s="371">
        <f t="shared" ref="E276:G276" si="66">+E277+E278</f>
        <v>0</v>
      </c>
      <c r="F276" s="371">
        <f t="shared" si="66"/>
        <v>0</v>
      </c>
      <c r="G276" s="371">
        <f t="shared" si="66"/>
        <v>8023.7</v>
      </c>
      <c r="H276"/>
      <c r="I276"/>
      <c r="J276"/>
      <c r="K276"/>
      <c r="L276"/>
    </row>
    <row r="277" spans="1:12" s="80" customFormat="1" x14ac:dyDescent="0.25">
      <c r="A277" s="329"/>
      <c r="B277" s="317" t="s">
        <v>269</v>
      </c>
      <c r="C277" s="372"/>
      <c r="D277" s="312">
        <v>6198.7</v>
      </c>
      <c r="E277" s="312">
        <v>0</v>
      </c>
      <c r="F277" s="372">
        <v>0</v>
      </c>
      <c r="G277" s="230">
        <f>D277+C277+E277-F277</f>
        <v>6198.7</v>
      </c>
      <c r="H277"/>
      <c r="I277"/>
      <c r="J277"/>
      <c r="K277"/>
      <c r="L277"/>
    </row>
    <row r="278" spans="1:12" x14ac:dyDescent="0.25">
      <c r="A278" s="329"/>
      <c r="B278" s="317" t="s">
        <v>270</v>
      </c>
      <c r="C278" s="372"/>
      <c r="D278" s="372">
        <v>1825</v>
      </c>
      <c r="E278" s="372">
        <v>0</v>
      </c>
      <c r="F278" s="372"/>
      <c r="G278" s="230">
        <f t="shared" ref="G278:G286" si="67">D278+C278+E278-F278</f>
        <v>1825</v>
      </c>
      <c r="H278" s="79"/>
    </row>
    <row r="279" spans="1:12" ht="38.450000000000003" customHeight="1" x14ac:dyDescent="0.25">
      <c r="A279" s="329" t="s">
        <v>876</v>
      </c>
      <c r="B279" s="287" t="s">
        <v>655</v>
      </c>
      <c r="C279" s="371">
        <f>+C280+C287</f>
        <v>0</v>
      </c>
      <c r="D279" s="371">
        <f>+D280+D287</f>
        <v>12997.669</v>
      </c>
      <c r="E279" s="371">
        <f>+E280+E287</f>
        <v>33081</v>
      </c>
      <c r="F279" s="371">
        <f>+F280+F287</f>
        <v>856.66899999999998</v>
      </c>
      <c r="G279" s="371">
        <f>+G280+G287</f>
        <v>45222</v>
      </c>
      <c r="H279" s="79" t="s">
        <v>832</v>
      </c>
      <c r="I279" t="s">
        <v>728</v>
      </c>
      <c r="J279" s="224">
        <f>+E280-F280</f>
        <v>32791</v>
      </c>
    </row>
    <row r="280" spans="1:12" s="80" customFormat="1" x14ac:dyDescent="0.25">
      <c r="A280" s="329"/>
      <c r="B280" s="287" t="s">
        <v>831</v>
      </c>
      <c r="C280" s="371">
        <f>+SUM(C281:C286)</f>
        <v>0</v>
      </c>
      <c r="D280" s="314">
        <f>+SUM(D281:D286)</f>
        <v>12431</v>
      </c>
      <c r="E280" s="314">
        <f>+SUM(E281:E286)</f>
        <v>33081</v>
      </c>
      <c r="F280" s="314">
        <f t="shared" ref="F280" si="68">+SUM(F281:F286)</f>
        <v>290</v>
      </c>
      <c r="G280" s="314">
        <f>+SUM(G281:G286)</f>
        <v>45222</v>
      </c>
      <c r="H280" s="396">
        <v>1204.7</v>
      </c>
      <c r="I280"/>
      <c r="J280"/>
      <c r="K280"/>
      <c r="L280"/>
    </row>
    <row r="281" spans="1:12" ht="31.5" x14ac:dyDescent="0.25">
      <c r="A281" s="347" t="s">
        <v>123</v>
      </c>
      <c r="B281" s="317" t="s">
        <v>271</v>
      </c>
      <c r="C281" s="372">
        <v>0</v>
      </c>
      <c r="D281" s="372"/>
      <c r="E281" s="372">
        <v>10000</v>
      </c>
      <c r="F281" s="372"/>
      <c r="G281" s="230">
        <f t="shared" si="67"/>
        <v>10000</v>
      </c>
      <c r="H281" s="79"/>
      <c r="I281">
        <v>4462</v>
      </c>
    </row>
    <row r="282" spans="1:12" ht="37.9" customHeight="1" x14ac:dyDescent="0.25">
      <c r="A282" s="347" t="s">
        <v>123</v>
      </c>
      <c r="B282" s="317" t="s">
        <v>272</v>
      </c>
      <c r="C282" s="372"/>
      <c r="D282" s="372"/>
      <c r="E282" s="372">
        <f>16168+6400</f>
        <v>22568</v>
      </c>
      <c r="F282" s="372"/>
      <c r="G282" s="230">
        <f t="shared" si="67"/>
        <v>22568</v>
      </c>
      <c r="H282" s="79">
        <f>+G280+G277+4670</f>
        <v>56090.7</v>
      </c>
      <c r="I282" s="79">
        <v>4893</v>
      </c>
      <c r="J282" s="293">
        <f>+I282-H282</f>
        <v>-51197.7</v>
      </c>
    </row>
    <row r="283" spans="1:12" ht="37.9" customHeight="1" x14ac:dyDescent="0.25">
      <c r="A283" s="329" t="s">
        <v>123</v>
      </c>
      <c r="B283" s="317" t="s">
        <v>401</v>
      </c>
      <c r="C283" s="372"/>
      <c r="D283" s="312">
        <v>8747</v>
      </c>
      <c r="E283" s="312">
        <v>0</v>
      </c>
      <c r="F283" s="312">
        <v>0</v>
      </c>
      <c r="G283" s="235">
        <f>D283+C283+E283-F283</f>
        <v>8747</v>
      </c>
      <c r="H283" s="79">
        <f>+H282+E280-F280</f>
        <v>88881.7</v>
      </c>
      <c r="I283" s="79">
        <f>4670+16168+16400+18629</f>
        <v>55867</v>
      </c>
      <c r="J283" s="79">
        <f>+H282-J282</f>
        <v>107288.4</v>
      </c>
    </row>
    <row r="284" spans="1:12" ht="31.5" x14ac:dyDescent="0.25">
      <c r="A284" s="329" t="s">
        <v>123</v>
      </c>
      <c r="B284" s="317" t="s">
        <v>402</v>
      </c>
      <c r="C284" s="372"/>
      <c r="D284" s="312">
        <v>2719</v>
      </c>
      <c r="E284" s="372">
        <v>513</v>
      </c>
      <c r="F284" s="372">
        <v>290</v>
      </c>
      <c r="G284" s="235">
        <f>D284+C284+E284-F284</f>
        <v>2942</v>
      </c>
      <c r="H284" s="79">
        <f>+G283+G9+G280</f>
        <v>58639</v>
      </c>
      <c r="I284" s="79">
        <f>+I283+513.2</f>
        <v>56380.2</v>
      </c>
      <c r="J284" s="224">
        <f>+I284-I286</f>
        <v>10156.362999999998</v>
      </c>
      <c r="L284">
        <v>10032.535</v>
      </c>
    </row>
    <row r="285" spans="1:12" ht="31.5" x14ac:dyDescent="0.25">
      <c r="A285" s="329" t="s">
        <v>123</v>
      </c>
      <c r="B285" s="317" t="s">
        <v>403</v>
      </c>
      <c r="C285" s="372"/>
      <c r="D285" s="372">
        <v>151</v>
      </c>
      <c r="E285" s="372">
        <v>0</v>
      </c>
      <c r="F285" s="372"/>
      <c r="G285" s="230">
        <f t="shared" si="67"/>
        <v>151</v>
      </c>
      <c r="H285" s="79">
        <v>8293.14</v>
      </c>
      <c r="I285" s="293">
        <f>+I284-290</f>
        <v>56090.2</v>
      </c>
      <c r="L285">
        <v>303.536</v>
      </c>
    </row>
    <row r="286" spans="1:12" s="80" customFormat="1" ht="31.5" x14ac:dyDescent="0.25">
      <c r="A286" s="329" t="s">
        <v>123</v>
      </c>
      <c r="B286" s="317" t="s">
        <v>404</v>
      </c>
      <c r="C286" s="372"/>
      <c r="D286" s="312">
        <v>814</v>
      </c>
      <c r="E286" s="372"/>
      <c r="F286" s="372"/>
      <c r="G286" s="230">
        <f t="shared" si="67"/>
        <v>814</v>
      </c>
      <c r="H286" s="224">
        <f>+H284-H285</f>
        <v>50345.86</v>
      </c>
      <c r="I286" s="79">
        <v>46223.837</v>
      </c>
      <c r="J286">
        <f>4670+16400+16168+10336.071</f>
        <v>47574.070999999996</v>
      </c>
      <c r="K286" s="293">
        <v>0</v>
      </c>
      <c r="L286" s="224">
        <f>+E286-F286</f>
        <v>0</v>
      </c>
    </row>
    <row r="287" spans="1:12" s="80" customFormat="1" ht="31.5" x14ac:dyDescent="0.25">
      <c r="A287" s="397" t="s">
        <v>290</v>
      </c>
      <c r="B287" s="382" t="s">
        <v>656</v>
      </c>
      <c r="C287" s="384">
        <f>+SUM(C288:C288)</f>
        <v>0</v>
      </c>
      <c r="D287" s="384">
        <f>+SUM(D288:D288)</f>
        <v>566.66899999999998</v>
      </c>
      <c r="E287" s="384">
        <f t="shared" ref="E287:G287" si="69">+SUM(E288:E288)</f>
        <v>0</v>
      </c>
      <c r="F287" s="384">
        <f t="shared" si="69"/>
        <v>566.66899999999998</v>
      </c>
      <c r="G287" s="384">
        <f t="shared" si="69"/>
        <v>0</v>
      </c>
      <c r="H287" s="224">
        <f>+H286-J286</f>
        <v>2771.7890000000043</v>
      </c>
      <c r="I287" s="224">
        <f>+H286-I286</f>
        <v>4122.023000000001</v>
      </c>
      <c r="J287"/>
      <c r="K287" s="79" t="e">
        <f>+K286-#REF!</f>
        <v>#REF!</v>
      </c>
      <c r="L287">
        <v>144.273</v>
      </c>
    </row>
    <row r="288" spans="1:12" s="80" customFormat="1" x14ac:dyDescent="0.25">
      <c r="A288" s="347" t="s">
        <v>123</v>
      </c>
      <c r="B288" s="317" t="s">
        <v>873</v>
      </c>
      <c r="C288" s="372"/>
      <c r="D288" s="372">
        <f>53.269+513.4</f>
        <v>566.66899999999998</v>
      </c>
      <c r="E288" s="372"/>
      <c r="F288" s="372">
        <f>53.269+513.4</f>
        <v>566.66899999999998</v>
      </c>
      <c r="G288" s="349">
        <f>D288+C288+E288-F288</f>
        <v>0</v>
      </c>
      <c r="H288" s="79">
        <v>46223</v>
      </c>
      <c r="I288" s="224" t="e">
        <f>+I287-#REF!</f>
        <v>#REF!</v>
      </c>
      <c r="J288"/>
      <c r="K288">
        <v>632.25199999999995</v>
      </c>
      <c r="L288" s="224">
        <f>+E287-F287</f>
        <v>-566.66899999999998</v>
      </c>
    </row>
    <row r="289" spans="3:9" x14ac:dyDescent="0.25">
      <c r="C289" s="281">
        <f>+D286+D285+D284+D283+D277</f>
        <v>18629.7</v>
      </c>
      <c r="I289" s="79" t="e">
        <f>+#REF!-37</f>
        <v>#REF!</v>
      </c>
    </row>
    <row r="290" spans="3:9" x14ac:dyDescent="0.25">
      <c r="D290" s="79"/>
    </row>
    <row r="291" spans="3:9" x14ac:dyDescent="0.25">
      <c r="F291">
        <v>53.268999999999998</v>
      </c>
    </row>
    <row r="292" spans="3:9" x14ac:dyDescent="0.25">
      <c r="F292" s="332">
        <f>+F291-E19</f>
        <v>15.988999999999997</v>
      </c>
    </row>
  </sheetData>
  <mergeCells count="9">
    <mergeCell ref="F1:G1"/>
    <mergeCell ref="A2:G2"/>
    <mergeCell ref="A3:G3"/>
    <mergeCell ref="E4:G4"/>
    <mergeCell ref="D5:F5"/>
    <mergeCell ref="B5:B6"/>
    <mergeCell ref="C5:C6"/>
    <mergeCell ref="G5:G6"/>
    <mergeCell ref="A5:A6"/>
  </mergeCells>
  <phoneticPr fontId="21" type="noConversion"/>
  <pageMargins left="0.82" right="0.5" top="0.56999999999999995" bottom="0.38" header="0.3" footer="0.3"/>
  <pageSetup paperSize="9" scale="9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316419-3D92-46C3-95C0-CE249645D5A5}">
  <dimension ref="A2:H47"/>
  <sheetViews>
    <sheetView view="pageBreakPreview" zoomScale="130" zoomScaleNormal="100" zoomScaleSheetLayoutView="130" workbookViewId="0">
      <selection activeCell="D7" sqref="D7"/>
    </sheetView>
  </sheetViews>
  <sheetFormatPr defaultRowHeight="15.75" x14ac:dyDescent="0.25"/>
  <cols>
    <col min="1" max="1" width="7.375" style="280" customWidth="1"/>
    <col min="2" max="2" width="27.375" customWidth="1"/>
    <col min="3" max="5" width="12.25" customWidth="1"/>
    <col min="6" max="6" width="12.75" customWidth="1"/>
  </cols>
  <sheetData>
    <row r="2" spans="1:8" x14ac:dyDescent="0.25">
      <c r="A2" s="465" t="s">
        <v>859</v>
      </c>
      <c r="B2" s="465"/>
      <c r="C2" s="465"/>
      <c r="D2" s="465"/>
      <c r="E2" s="465"/>
      <c r="F2" s="465"/>
    </row>
    <row r="3" spans="1:8" s="78" customFormat="1" ht="63" customHeight="1" x14ac:dyDescent="0.25">
      <c r="A3" s="316" t="s">
        <v>1</v>
      </c>
      <c r="B3" s="316" t="s">
        <v>854</v>
      </c>
      <c r="C3" s="316" t="s">
        <v>857</v>
      </c>
      <c r="D3" s="316" t="s">
        <v>856</v>
      </c>
      <c r="E3" s="316" t="s">
        <v>858</v>
      </c>
      <c r="F3" s="316" t="s">
        <v>26</v>
      </c>
      <c r="G3" s="327" t="s">
        <v>405</v>
      </c>
    </row>
    <row r="4" spans="1:8" x14ac:dyDescent="0.25">
      <c r="A4" s="329"/>
      <c r="B4" s="233"/>
      <c r="C4" s="233"/>
      <c r="D4" s="233"/>
      <c r="E4" s="233"/>
      <c r="F4" s="233"/>
    </row>
    <row r="5" spans="1:8" s="78" customFormat="1" x14ac:dyDescent="0.25">
      <c r="A5" s="329"/>
      <c r="B5" s="223" t="s">
        <v>27</v>
      </c>
      <c r="C5" s="223">
        <v>2538</v>
      </c>
      <c r="D5" s="328">
        <f>+D6+D15+D19+D26+D28+D30+D33+D40+D42+D46</f>
        <v>2002.729</v>
      </c>
      <c r="E5" s="328">
        <f>+C5-D5</f>
        <v>535.27099999999996</v>
      </c>
      <c r="F5" s="223"/>
    </row>
    <row r="6" spans="1:8" s="78" customFormat="1" x14ac:dyDescent="0.25">
      <c r="A6" s="329">
        <v>1</v>
      </c>
      <c r="B6" s="223" t="s">
        <v>855</v>
      </c>
      <c r="C6" s="223"/>
      <c r="D6" s="328">
        <f>+SUM(D7:D14)</f>
        <v>892.01</v>
      </c>
      <c r="E6" s="328"/>
      <c r="F6" s="328"/>
    </row>
    <row r="7" spans="1:8" s="78" customFormat="1" x14ac:dyDescent="0.25">
      <c r="A7" s="329"/>
      <c r="B7" s="233" t="s">
        <v>890</v>
      </c>
      <c r="C7" s="223"/>
      <c r="D7" s="328">
        <f>-15.99</f>
        <v>-15.99</v>
      </c>
      <c r="E7" s="328"/>
      <c r="F7" s="328"/>
    </row>
    <row r="8" spans="1:8" ht="31.5" x14ac:dyDescent="0.25">
      <c r="A8" s="329" t="s">
        <v>123</v>
      </c>
      <c r="B8" s="318" t="s">
        <v>274</v>
      </c>
      <c r="C8" s="318"/>
      <c r="D8" s="229">
        <v>150</v>
      </c>
      <c r="E8" s="229"/>
      <c r="F8" s="233"/>
    </row>
    <row r="9" spans="1:8" ht="31.5" x14ac:dyDescent="0.25">
      <c r="A9" s="329" t="s">
        <v>123</v>
      </c>
      <c r="B9" s="317" t="s">
        <v>669</v>
      </c>
      <c r="C9" s="285">
        <v>0</v>
      </c>
      <c r="D9" s="229">
        <v>98</v>
      </c>
      <c r="E9" s="229"/>
      <c r="F9" s="233"/>
      <c r="G9" s="79">
        <f>+D6-D8-D10</f>
        <v>592.01</v>
      </c>
    </row>
    <row r="10" spans="1:8" ht="47.25" x14ac:dyDescent="0.25">
      <c r="A10" s="329" t="s">
        <v>123</v>
      </c>
      <c r="B10" s="318" t="s">
        <v>282</v>
      </c>
      <c r="C10" s="318"/>
      <c r="D10" s="229">
        <v>150</v>
      </c>
      <c r="E10" s="229"/>
      <c r="F10" s="233"/>
      <c r="G10" s="317"/>
      <c r="H10" s="330"/>
    </row>
    <row r="11" spans="1:8" ht="47.25" x14ac:dyDescent="0.25">
      <c r="A11" s="329" t="s">
        <v>123</v>
      </c>
      <c r="B11" s="317" t="s">
        <v>667</v>
      </c>
      <c r="C11" s="318"/>
      <c r="D11" s="285">
        <v>70</v>
      </c>
      <c r="E11" s="229"/>
      <c r="F11" s="233"/>
      <c r="G11" s="324"/>
      <c r="H11" s="340"/>
    </row>
    <row r="12" spans="1:8" ht="31.5" x14ac:dyDescent="0.25">
      <c r="A12" s="329" t="s">
        <v>123</v>
      </c>
      <c r="B12" s="317" t="s">
        <v>668</v>
      </c>
      <c r="C12" s="318"/>
      <c r="D12" s="285">
        <v>215</v>
      </c>
      <c r="E12" s="229"/>
      <c r="F12" s="233"/>
      <c r="G12" s="324"/>
      <c r="H12" s="340"/>
    </row>
    <row r="13" spans="1:8" x14ac:dyDescent="0.25">
      <c r="A13" s="329" t="s">
        <v>123</v>
      </c>
      <c r="B13" s="318" t="s">
        <v>670</v>
      </c>
      <c r="C13" s="318"/>
      <c r="D13" s="285">
        <v>70</v>
      </c>
      <c r="E13" s="229"/>
      <c r="F13" s="233"/>
      <c r="G13" s="324"/>
      <c r="H13" s="340"/>
    </row>
    <row r="14" spans="1:8" ht="47.25" x14ac:dyDescent="0.25">
      <c r="A14" s="329" t="s">
        <v>123</v>
      </c>
      <c r="B14" s="318" t="s">
        <v>671</v>
      </c>
      <c r="C14" s="318"/>
      <c r="D14" s="285">
        <v>155</v>
      </c>
      <c r="E14" s="229"/>
      <c r="F14" s="233"/>
      <c r="G14" s="324"/>
      <c r="H14" s="340"/>
    </row>
    <row r="15" spans="1:8" s="78" customFormat="1" x14ac:dyDescent="0.25">
      <c r="A15" s="329">
        <v>2</v>
      </c>
      <c r="B15" s="341" t="s">
        <v>868</v>
      </c>
      <c r="C15" s="341"/>
      <c r="D15" s="228">
        <f>SUM(D16:D18)</f>
        <v>207</v>
      </c>
      <c r="E15" s="228"/>
      <c r="F15" s="223"/>
      <c r="G15" s="323"/>
      <c r="H15" s="342"/>
    </row>
    <row r="16" spans="1:8" ht="47.25" x14ac:dyDescent="0.25">
      <c r="A16" s="329" t="s">
        <v>123</v>
      </c>
      <c r="B16" s="286" t="s">
        <v>251</v>
      </c>
      <c r="C16" s="318"/>
      <c r="D16" s="229">
        <v>53</v>
      </c>
      <c r="E16" s="229"/>
      <c r="F16" s="233"/>
      <c r="G16" s="324"/>
      <c r="H16" s="340"/>
    </row>
    <row r="17" spans="1:8" ht="47.25" x14ac:dyDescent="0.25">
      <c r="A17" s="329" t="s">
        <v>123</v>
      </c>
      <c r="B17" s="317" t="s">
        <v>252</v>
      </c>
      <c r="C17" s="318"/>
      <c r="D17" s="229">
        <v>147</v>
      </c>
      <c r="E17" s="229"/>
      <c r="F17" s="233"/>
      <c r="G17" s="324"/>
      <c r="H17" s="340"/>
    </row>
    <row r="18" spans="1:8" ht="78.75" x14ac:dyDescent="0.25">
      <c r="A18" s="329" t="s">
        <v>123</v>
      </c>
      <c r="B18" s="286" t="s">
        <v>253</v>
      </c>
      <c r="C18" s="318"/>
      <c r="D18" s="229">
        <v>7</v>
      </c>
      <c r="E18" s="229"/>
      <c r="F18" s="233"/>
      <c r="G18" s="324"/>
      <c r="H18" s="340"/>
    </row>
    <row r="19" spans="1:8" x14ac:dyDescent="0.25">
      <c r="A19" s="329">
        <v>3</v>
      </c>
      <c r="B19" s="223" t="s">
        <v>162</v>
      </c>
      <c r="C19" s="223"/>
      <c r="D19" s="328">
        <f>+SUM(D20:D25)</f>
        <v>211</v>
      </c>
      <c r="E19" s="328"/>
      <c r="F19" s="233"/>
    </row>
    <row r="20" spans="1:8" ht="31.5" x14ac:dyDescent="0.25">
      <c r="A20" s="329" t="s">
        <v>123</v>
      </c>
      <c r="B20" s="318" t="s">
        <v>276</v>
      </c>
      <c r="C20" s="318"/>
      <c r="D20" s="229">
        <v>47</v>
      </c>
      <c r="E20" s="229"/>
      <c r="F20" s="325" t="s">
        <v>405</v>
      </c>
    </row>
    <row r="21" spans="1:8" ht="63" x14ac:dyDescent="0.25">
      <c r="A21" s="329" t="s">
        <v>123</v>
      </c>
      <c r="B21" s="317" t="s">
        <v>678</v>
      </c>
      <c r="C21" s="317"/>
      <c r="D21" s="229">
        <v>20</v>
      </c>
      <c r="E21" s="229"/>
      <c r="F21" s="325"/>
    </row>
    <row r="22" spans="1:8" ht="47.25" x14ac:dyDescent="0.25">
      <c r="A22" s="329" t="s">
        <v>123</v>
      </c>
      <c r="B22" s="317" t="s">
        <v>679</v>
      </c>
      <c r="C22" s="317"/>
      <c r="D22" s="229">
        <v>30</v>
      </c>
      <c r="E22" s="229"/>
      <c r="F22" s="325"/>
    </row>
    <row r="23" spans="1:8" ht="31.5" x14ac:dyDescent="0.25">
      <c r="A23" s="329" t="s">
        <v>123</v>
      </c>
      <c r="B23" s="317" t="s">
        <v>250</v>
      </c>
      <c r="C23" s="317"/>
      <c r="D23" s="229">
        <v>30</v>
      </c>
      <c r="E23" s="229"/>
      <c r="F23" s="325"/>
    </row>
    <row r="24" spans="1:8" ht="47.25" x14ac:dyDescent="0.25">
      <c r="A24" s="329" t="s">
        <v>123</v>
      </c>
      <c r="B24" s="317" t="s">
        <v>662</v>
      </c>
      <c r="C24" s="317"/>
      <c r="D24" s="229">
        <v>34</v>
      </c>
      <c r="E24" s="229"/>
      <c r="F24" s="325"/>
    </row>
    <row r="25" spans="1:8" ht="47.25" x14ac:dyDescent="0.25">
      <c r="A25" s="329" t="s">
        <v>123</v>
      </c>
      <c r="B25" s="317" t="s">
        <v>426</v>
      </c>
      <c r="C25" s="317"/>
      <c r="D25" s="229">
        <v>50</v>
      </c>
      <c r="E25" s="229"/>
      <c r="F25" s="325"/>
      <c r="G25" s="318" t="s">
        <v>405</v>
      </c>
    </row>
    <row r="26" spans="1:8" s="78" customFormat="1" x14ac:dyDescent="0.25">
      <c r="A26" s="329">
        <v>4</v>
      </c>
      <c r="B26" s="290" t="s">
        <v>651</v>
      </c>
      <c r="C26" s="290"/>
      <c r="D26" s="228">
        <f>+SUM(D27:D27)</f>
        <v>200</v>
      </c>
      <c r="E26" s="228"/>
      <c r="F26" s="284"/>
    </row>
    <row r="27" spans="1:8" ht="31.5" x14ac:dyDescent="0.25">
      <c r="A27" s="329" t="s">
        <v>123</v>
      </c>
      <c r="B27" s="318" t="s">
        <v>276</v>
      </c>
      <c r="C27" s="318"/>
      <c r="D27" s="229">
        <v>200</v>
      </c>
      <c r="E27" s="229"/>
      <c r="F27" s="325"/>
    </row>
    <row r="28" spans="1:8" ht="31.5" x14ac:dyDescent="0.25">
      <c r="A28" s="329">
        <v>5</v>
      </c>
      <c r="B28" s="287" t="s">
        <v>255</v>
      </c>
      <c r="C28" s="318"/>
      <c r="D28" s="228">
        <f>+D29</f>
        <v>40</v>
      </c>
      <c r="E28" s="229"/>
      <c r="F28" s="325"/>
    </row>
    <row r="29" spans="1:8" ht="31.5" x14ac:dyDescent="0.25">
      <c r="A29" s="329" t="s">
        <v>123</v>
      </c>
      <c r="B29" s="317" t="s">
        <v>665</v>
      </c>
      <c r="C29" s="318"/>
      <c r="D29" s="229">
        <v>40</v>
      </c>
      <c r="E29" s="229"/>
      <c r="F29" s="325"/>
    </row>
    <row r="30" spans="1:8" ht="31.5" x14ac:dyDescent="0.25">
      <c r="A30" s="329">
        <v>6</v>
      </c>
      <c r="B30" s="287" t="s">
        <v>138</v>
      </c>
      <c r="C30" s="287"/>
      <c r="D30" s="328">
        <f>+SUM(D31:D32)</f>
        <v>220</v>
      </c>
      <c r="E30" s="328"/>
      <c r="F30" s="233"/>
    </row>
    <row r="31" spans="1:8" ht="31.5" x14ac:dyDescent="0.25">
      <c r="A31" s="329" t="s">
        <v>123</v>
      </c>
      <c r="B31" s="289" t="s">
        <v>681</v>
      </c>
      <c r="C31" s="289"/>
      <c r="D31" s="229">
        <v>130</v>
      </c>
      <c r="E31" s="229"/>
      <c r="F31" s="233"/>
    </row>
    <row r="32" spans="1:8" ht="59.25" customHeight="1" x14ac:dyDescent="0.25">
      <c r="A32" s="329" t="s">
        <v>123</v>
      </c>
      <c r="B32" s="318" t="s">
        <v>658</v>
      </c>
      <c r="C32" s="318"/>
      <c r="D32" s="229">
        <v>90</v>
      </c>
      <c r="E32" s="229"/>
      <c r="F32" s="233"/>
    </row>
    <row r="33" spans="1:6" x14ac:dyDescent="0.25">
      <c r="A33" s="329">
        <v>7</v>
      </c>
      <c r="B33" s="287" t="s">
        <v>218</v>
      </c>
      <c r="C33" s="287"/>
      <c r="D33" s="331">
        <f>+SUM(D34:D39)</f>
        <v>86</v>
      </c>
      <c r="E33" s="331"/>
      <c r="F33" s="233"/>
    </row>
    <row r="34" spans="1:6" ht="31.5" x14ac:dyDescent="0.25">
      <c r="A34" s="329" t="s">
        <v>123</v>
      </c>
      <c r="B34" s="321" t="s">
        <v>663</v>
      </c>
      <c r="C34" s="321"/>
      <c r="D34" s="229">
        <v>12</v>
      </c>
      <c r="E34" s="331"/>
      <c r="F34" s="233"/>
    </row>
    <row r="35" spans="1:6" ht="47.25" x14ac:dyDescent="0.25">
      <c r="A35" s="329" t="s">
        <v>123</v>
      </c>
      <c r="B35" s="317" t="s">
        <v>672</v>
      </c>
      <c r="C35" s="317"/>
      <c r="D35" s="285">
        <v>14</v>
      </c>
      <c r="E35" s="285"/>
      <c r="F35" s="233"/>
    </row>
    <row r="36" spans="1:6" ht="31.5" x14ac:dyDescent="0.25">
      <c r="A36" s="329" t="s">
        <v>123</v>
      </c>
      <c r="B36" s="317" t="s">
        <v>673</v>
      </c>
      <c r="C36" s="317"/>
      <c r="D36" s="285">
        <v>10</v>
      </c>
      <c r="E36" s="285"/>
      <c r="F36" s="233"/>
    </row>
    <row r="37" spans="1:6" ht="31.5" x14ac:dyDescent="0.25">
      <c r="A37" s="329"/>
      <c r="B37" s="321" t="s">
        <v>870</v>
      </c>
      <c r="C37" s="317"/>
      <c r="D37" s="285">
        <v>10</v>
      </c>
      <c r="E37" s="285"/>
      <c r="F37" s="233"/>
    </row>
    <row r="38" spans="1:6" ht="31.5" x14ac:dyDescent="0.25">
      <c r="A38" s="329"/>
      <c r="B38" s="317" t="s">
        <v>243</v>
      </c>
      <c r="C38" s="317"/>
      <c r="D38" s="285">
        <v>10</v>
      </c>
      <c r="E38" s="285"/>
      <c r="F38" s="233"/>
    </row>
    <row r="39" spans="1:6" ht="68.25" customHeight="1" x14ac:dyDescent="0.25">
      <c r="A39" s="329" t="s">
        <v>123</v>
      </c>
      <c r="B39" s="317" t="s">
        <v>674</v>
      </c>
      <c r="C39" s="317"/>
      <c r="D39" s="285">
        <v>30</v>
      </c>
      <c r="E39" s="285"/>
      <c r="F39" s="233"/>
    </row>
    <row r="40" spans="1:6" ht="31.5" x14ac:dyDescent="0.25">
      <c r="A40" s="329">
        <v>8</v>
      </c>
      <c r="B40" s="287" t="s">
        <v>676</v>
      </c>
      <c r="C40" s="287"/>
      <c r="D40" s="223">
        <f>+D41</f>
        <v>50</v>
      </c>
      <c r="E40" s="233"/>
      <c r="F40" s="233"/>
    </row>
    <row r="41" spans="1:6" ht="31.5" x14ac:dyDescent="0.25">
      <c r="A41" s="329" t="s">
        <v>123</v>
      </c>
      <c r="B41" s="326" t="s">
        <v>677</v>
      </c>
      <c r="C41" s="326"/>
      <c r="D41" s="233">
        <v>50</v>
      </c>
      <c r="E41" s="233"/>
      <c r="F41" s="233"/>
    </row>
    <row r="42" spans="1:6" x14ac:dyDescent="0.25">
      <c r="A42" s="329">
        <v>9</v>
      </c>
      <c r="B42" s="287" t="s">
        <v>262</v>
      </c>
      <c r="C42" s="287"/>
      <c r="D42" s="223">
        <f>+SUM(D43:D45)</f>
        <v>68.718999999999994</v>
      </c>
      <c r="E42" s="223"/>
      <c r="F42" s="233"/>
    </row>
    <row r="43" spans="1:6" x14ac:dyDescent="0.25">
      <c r="A43" s="329" t="s">
        <v>123</v>
      </c>
      <c r="B43" s="317" t="s">
        <v>223</v>
      </c>
      <c r="C43" s="317"/>
      <c r="D43" s="233">
        <v>0.71899999999999997</v>
      </c>
      <c r="E43" s="233"/>
      <c r="F43" s="233"/>
    </row>
    <row r="44" spans="1:6" ht="47.25" x14ac:dyDescent="0.25">
      <c r="A44" s="329" t="s">
        <v>123</v>
      </c>
      <c r="B44" s="317" t="s">
        <v>664</v>
      </c>
      <c r="C44" s="317"/>
      <c r="D44" s="229">
        <v>28</v>
      </c>
      <c r="E44" s="233"/>
      <c r="F44" s="233"/>
    </row>
    <row r="45" spans="1:6" ht="47.25" x14ac:dyDescent="0.25">
      <c r="A45" s="329" t="s">
        <v>123</v>
      </c>
      <c r="B45" s="322" t="s">
        <v>263</v>
      </c>
      <c r="C45" s="229" t="s">
        <v>405</v>
      </c>
      <c r="D45" s="233">
        <v>40</v>
      </c>
      <c r="E45" s="233"/>
      <c r="F45" s="233"/>
    </row>
    <row r="46" spans="1:6" s="78" customFormat="1" ht="31.5" x14ac:dyDescent="0.25">
      <c r="A46" s="329">
        <v>10</v>
      </c>
      <c r="B46" s="320" t="s">
        <v>153</v>
      </c>
      <c r="C46" s="320"/>
      <c r="D46" s="228">
        <f>+D47</f>
        <v>28</v>
      </c>
      <c r="E46" s="228"/>
      <c r="F46" s="223"/>
    </row>
    <row r="47" spans="1:6" ht="31.5" x14ac:dyDescent="0.25">
      <c r="A47" s="329" t="s">
        <v>123</v>
      </c>
      <c r="B47" s="321" t="s">
        <v>663</v>
      </c>
      <c r="C47" s="321"/>
      <c r="D47" s="229">
        <v>28</v>
      </c>
      <c r="E47" s="229"/>
      <c r="F47" s="233"/>
    </row>
  </sheetData>
  <mergeCells count="1">
    <mergeCell ref="A2:F2"/>
  </mergeCells>
  <pageMargins left="0.7" right="0.7" top="0.39" bottom="0.75" header="0.3" footer="0.3"/>
  <pageSetup paperSize="9" scale="97" orientation="portrait" verticalDpi="0"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10174F-93E2-4D5D-BE11-EE6C4CD3578A}">
  <dimension ref="A1:S187"/>
  <sheetViews>
    <sheetView view="pageBreakPreview" topLeftCell="A160" zoomScale="112" zoomScaleNormal="100" zoomScaleSheetLayoutView="112" workbookViewId="0">
      <selection activeCell="D39" sqref="D39"/>
    </sheetView>
  </sheetViews>
  <sheetFormatPr defaultRowHeight="15.75" x14ac:dyDescent="0.25"/>
  <cols>
    <col min="1" max="1" width="7.25" customWidth="1"/>
    <col min="2" max="2" width="30.25" customWidth="1"/>
    <col min="3" max="3" width="8.75" customWidth="1"/>
    <col min="4" max="4" width="6" customWidth="1"/>
    <col min="5" max="5" width="15.75" customWidth="1"/>
    <col min="6" max="6" width="7.5" hidden="1" customWidth="1"/>
    <col min="7" max="8" width="14.875" customWidth="1"/>
    <col min="9" max="9" width="13.125" hidden="1" customWidth="1"/>
    <col min="10" max="11" width="12.75" hidden="1" customWidth="1"/>
    <col min="12" max="14" width="13.125" customWidth="1"/>
    <col min="15" max="15" width="14.875" hidden="1" customWidth="1"/>
    <col min="16" max="16" width="14.875" customWidth="1"/>
    <col min="17" max="17" width="13.75" hidden="1" customWidth="1"/>
    <col min="18" max="19" width="7.25" hidden="1" customWidth="1"/>
  </cols>
  <sheetData>
    <row r="1" spans="1:19" x14ac:dyDescent="0.25">
      <c r="A1" s="350" t="s">
        <v>436</v>
      </c>
      <c r="B1" s="351"/>
      <c r="C1" s="351"/>
      <c r="D1" s="151"/>
      <c r="E1" s="351"/>
      <c r="F1" s="351"/>
      <c r="G1" s="351"/>
      <c r="H1" s="351"/>
      <c r="I1" s="351"/>
      <c r="J1" s="152">
        <f>1825000571-L9</f>
        <v>0</v>
      </c>
      <c r="K1" s="351"/>
      <c r="L1" s="351"/>
      <c r="M1" s="351"/>
      <c r="N1" s="351"/>
      <c r="O1" s="351"/>
      <c r="P1" s="352" t="s">
        <v>641</v>
      </c>
      <c r="Q1" s="352"/>
    </row>
    <row r="2" spans="1:19" x14ac:dyDescent="0.25">
      <c r="A2" s="466" t="s">
        <v>640</v>
      </c>
      <c r="B2" s="466"/>
      <c r="C2" s="466"/>
      <c r="D2" s="466"/>
      <c r="E2" s="466"/>
      <c r="F2" s="466"/>
      <c r="G2" s="466"/>
      <c r="H2" s="466"/>
      <c r="I2" s="466"/>
      <c r="J2" s="466"/>
      <c r="K2" s="466"/>
      <c r="L2" s="466"/>
      <c r="M2" s="466"/>
      <c r="N2" s="466"/>
      <c r="O2" s="466"/>
      <c r="P2" s="466"/>
      <c r="Q2" s="466"/>
      <c r="R2" s="466"/>
      <c r="S2" s="466"/>
    </row>
    <row r="3" spans="1:19" x14ac:dyDescent="0.25">
      <c r="A3" s="467" t="str">
        <f>+'Biểu Thu '!A5:E5</f>
        <v>(Kèm theo Nghị quyết số    /NQ- HĐND ngày     tháng 7 năm 2026 của HĐND xã Lùng Phình)</v>
      </c>
      <c r="B3" s="467"/>
      <c r="C3" s="467"/>
      <c r="D3" s="467"/>
      <c r="E3" s="467"/>
      <c r="F3" s="467"/>
      <c r="G3" s="467"/>
      <c r="H3" s="467"/>
      <c r="I3" s="467"/>
      <c r="J3" s="467"/>
      <c r="K3" s="467"/>
      <c r="L3" s="467"/>
      <c r="M3" s="467"/>
      <c r="N3" s="467"/>
      <c r="O3" s="467"/>
      <c r="P3" s="467"/>
      <c r="Q3" s="467"/>
      <c r="R3" s="467"/>
      <c r="S3" s="467"/>
    </row>
    <row r="4" spans="1:19" x14ac:dyDescent="0.25">
      <c r="A4" s="353"/>
      <c r="B4" s="353"/>
      <c r="C4" s="353"/>
      <c r="D4" s="353"/>
      <c r="E4" s="354"/>
      <c r="F4" s="353"/>
      <c r="G4" s="353"/>
      <c r="H4" s="355"/>
      <c r="I4" s="353"/>
      <c r="J4" s="353"/>
      <c r="K4" s="353"/>
      <c r="L4" s="353"/>
      <c r="M4" s="153"/>
      <c r="N4" s="353"/>
      <c r="O4" s="353"/>
      <c r="P4" s="356" t="s">
        <v>437</v>
      </c>
      <c r="R4" s="353"/>
      <c r="S4" s="353"/>
    </row>
    <row r="5" spans="1:19" x14ac:dyDescent="0.25">
      <c r="A5" s="468" t="s">
        <v>1</v>
      </c>
      <c r="B5" s="468" t="s">
        <v>20</v>
      </c>
      <c r="C5" s="468" t="s">
        <v>438</v>
      </c>
      <c r="D5" s="468" t="s">
        <v>439</v>
      </c>
      <c r="E5" s="468" t="s">
        <v>440</v>
      </c>
      <c r="F5" s="468" t="s">
        <v>441</v>
      </c>
      <c r="G5" s="468" t="s">
        <v>442</v>
      </c>
      <c r="H5" s="468" t="s">
        <v>443</v>
      </c>
      <c r="I5" s="468" t="s">
        <v>444</v>
      </c>
      <c r="J5" s="468" t="s">
        <v>445</v>
      </c>
      <c r="K5" s="468" t="s">
        <v>446</v>
      </c>
      <c r="L5" s="468" t="s">
        <v>447</v>
      </c>
      <c r="M5" s="468"/>
      <c r="N5" s="468"/>
      <c r="O5" s="468"/>
      <c r="P5" s="468"/>
      <c r="Q5" s="468"/>
      <c r="R5" s="468"/>
      <c r="S5" s="468"/>
    </row>
    <row r="6" spans="1:19" ht="51" x14ac:dyDescent="0.25">
      <c r="A6" s="468"/>
      <c r="B6" s="468"/>
      <c r="C6" s="468"/>
      <c r="D6" s="468"/>
      <c r="E6" s="468"/>
      <c r="F6" s="468"/>
      <c r="G6" s="468"/>
      <c r="H6" s="468"/>
      <c r="I6" s="468"/>
      <c r="J6" s="468"/>
      <c r="K6" s="468"/>
      <c r="L6" s="154" t="s">
        <v>448</v>
      </c>
      <c r="M6" s="408" t="s">
        <v>449</v>
      </c>
      <c r="N6" s="408" t="s">
        <v>450</v>
      </c>
      <c r="O6" s="408" t="s">
        <v>451</v>
      </c>
      <c r="P6" s="408" t="s">
        <v>452</v>
      </c>
      <c r="Q6" s="408" t="s">
        <v>453</v>
      </c>
      <c r="R6" s="408" t="s">
        <v>454</v>
      </c>
      <c r="S6" s="408" t="s">
        <v>455</v>
      </c>
    </row>
    <row r="7" spans="1:19" x14ac:dyDescent="0.25">
      <c r="A7" s="409" t="s">
        <v>130</v>
      </c>
      <c r="B7" s="409" t="s">
        <v>159</v>
      </c>
      <c r="C7" s="409" t="s">
        <v>413</v>
      </c>
      <c r="D7" s="409"/>
      <c r="E7" s="409" t="s">
        <v>456</v>
      </c>
      <c r="F7" s="409" t="s">
        <v>457</v>
      </c>
      <c r="G7" s="409"/>
      <c r="H7" s="409" t="s">
        <v>458</v>
      </c>
      <c r="I7" s="409">
        <v>2</v>
      </c>
      <c r="J7" s="409">
        <v>3</v>
      </c>
      <c r="K7" s="409">
        <v>4</v>
      </c>
      <c r="L7" s="409" t="s">
        <v>459</v>
      </c>
      <c r="M7" s="409">
        <v>6</v>
      </c>
      <c r="N7" s="409">
        <v>7</v>
      </c>
      <c r="O7" s="409">
        <v>8</v>
      </c>
      <c r="P7" s="409">
        <v>9</v>
      </c>
      <c r="Q7" s="409">
        <v>10</v>
      </c>
      <c r="R7" s="409">
        <v>11</v>
      </c>
      <c r="S7" s="409">
        <v>12</v>
      </c>
    </row>
    <row r="8" spans="1:19" x14ac:dyDescent="0.25">
      <c r="A8" s="408"/>
      <c r="B8" s="408" t="s">
        <v>448</v>
      </c>
      <c r="C8" s="154"/>
      <c r="D8" s="154"/>
      <c r="E8" s="410">
        <f>E9+E67</f>
        <v>219403980411</v>
      </c>
      <c r="F8" s="410">
        <f t="shared" ref="F8:K8" si="0">F9+F67</f>
        <v>0</v>
      </c>
      <c r="G8" s="410">
        <f>G9+G67</f>
        <v>200961275453</v>
      </c>
      <c r="H8" s="410">
        <f>H9+H67</f>
        <v>18442704958</v>
      </c>
      <c r="I8" s="410">
        <f t="shared" si="0"/>
        <v>0</v>
      </c>
      <c r="J8" s="410">
        <f t="shared" si="0"/>
        <v>0</v>
      </c>
      <c r="K8" s="410">
        <f t="shared" si="0"/>
        <v>0</v>
      </c>
      <c r="L8" s="410">
        <f>L9+L67</f>
        <v>17491200283</v>
      </c>
      <c r="M8" s="410">
        <f>M9+M67</f>
        <v>5861173981</v>
      </c>
      <c r="N8" s="410">
        <f t="shared" ref="N8:S8" si="1">N9+N67</f>
        <v>8781530406</v>
      </c>
      <c r="O8" s="410">
        <f t="shared" si="1"/>
        <v>0</v>
      </c>
      <c r="P8" s="410">
        <f t="shared" si="1"/>
        <v>3800000571</v>
      </c>
      <c r="Q8" s="410">
        <f t="shared" si="1"/>
        <v>0</v>
      </c>
      <c r="R8" s="410">
        <f t="shared" si="1"/>
        <v>0</v>
      </c>
      <c r="S8" s="410">
        <f t="shared" si="1"/>
        <v>0</v>
      </c>
    </row>
    <row r="9" spans="1:19" ht="25.5" x14ac:dyDescent="0.25">
      <c r="A9" s="408" t="s">
        <v>130</v>
      </c>
      <c r="B9" s="411" t="s">
        <v>460</v>
      </c>
      <c r="C9" s="154"/>
      <c r="D9" s="154"/>
      <c r="E9" s="155">
        <f t="shared" ref="E9:S9" si="2">+E10+E48</f>
        <v>20335828522</v>
      </c>
      <c r="F9" s="155">
        <f t="shared" si="2"/>
        <v>0</v>
      </c>
      <c r="G9" s="155">
        <f t="shared" si="2"/>
        <v>18510827951</v>
      </c>
      <c r="H9" s="155">
        <f t="shared" si="2"/>
        <v>1825000571</v>
      </c>
      <c r="I9" s="155">
        <f t="shared" si="2"/>
        <v>0</v>
      </c>
      <c r="J9" s="155">
        <f t="shared" si="2"/>
        <v>0</v>
      </c>
      <c r="K9" s="155">
        <f t="shared" si="2"/>
        <v>0</v>
      </c>
      <c r="L9" s="155">
        <f>+L10+L48</f>
        <v>1825000571</v>
      </c>
      <c r="M9" s="155">
        <v>0</v>
      </c>
      <c r="N9" s="155">
        <f t="shared" si="2"/>
        <v>0</v>
      </c>
      <c r="O9" s="155">
        <f t="shared" si="2"/>
        <v>0</v>
      </c>
      <c r="P9" s="155">
        <f t="shared" si="2"/>
        <v>1825000571</v>
      </c>
      <c r="Q9" s="155">
        <v>0</v>
      </c>
      <c r="R9" s="155">
        <f t="shared" si="2"/>
        <v>0</v>
      </c>
      <c r="S9" s="155">
        <f t="shared" si="2"/>
        <v>0</v>
      </c>
    </row>
    <row r="10" spans="1:19" ht="25.5" x14ac:dyDescent="0.25">
      <c r="A10" s="408" t="s">
        <v>2</v>
      </c>
      <c r="B10" s="411" t="s">
        <v>461</v>
      </c>
      <c r="C10" s="76"/>
      <c r="D10" s="76"/>
      <c r="E10" s="155">
        <f t="shared" ref="E10:S10" si="3">E11+E23+E26</f>
        <v>11334588127</v>
      </c>
      <c r="F10" s="155">
        <f t="shared" si="3"/>
        <v>0</v>
      </c>
      <c r="G10" s="155">
        <f>G11+G23+G26</f>
        <v>9713018438</v>
      </c>
      <c r="H10" s="155">
        <f t="shared" si="3"/>
        <v>1621569689</v>
      </c>
      <c r="I10" s="155">
        <f t="shared" si="3"/>
        <v>0</v>
      </c>
      <c r="J10" s="155">
        <f t="shared" si="3"/>
        <v>0</v>
      </c>
      <c r="K10" s="155">
        <f t="shared" si="3"/>
        <v>0</v>
      </c>
      <c r="L10" s="155">
        <f>L11+L23+L26</f>
        <v>1621569689</v>
      </c>
      <c r="M10" s="155">
        <f t="shared" si="3"/>
        <v>0</v>
      </c>
      <c r="N10" s="155">
        <f t="shared" si="3"/>
        <v>0</v>
      </c>
      <c r="O10" s="155">
        <f t="shared" si="3"/>
        <v>0</v>
      </c>
      <c r="P10" s="155">
        <f t="shared" si="3"/>
        <v>1621569689</v>
      </c>
      <c r="Q10" s="155">
        <f t="shared" si="3"/>
        <v>0</v>
      </c>
      <c r="R10" s="155">
        <f t="shared" si="3"/>
        <v>0</v>
      </c>
      <c r="S10" s="155">
        <f t="shared" si="3"/>
        <v>0</v>
      </c>
    </row>
    <row r="11" spans="1:19" x14ac:dyDescent="0.25">
      <c r="A11" s="408">
        <v>1</v>
      </c>
      <c r="B11" s="156" t="s">
        <v>462</v>
      </c>
      <c r="C11" s="76"/>
      <c r="D11" s="76"/>
      <c r="E11" s="155">
        <f>+E12+E15+E18+E19+E20+E21+E22</f>
        <v>1324996787</v>
      </c>
      <c r="F11" s="155">
        <f t="shared" ref="F11:S11" si="4">+F12+F15+F18+F19+F20+F21+F22</f>
        <v>0</v>
      </c>
      <c r="G11" s="155">
        <f t="shared" si="4"/>
        <v>1228098000</v>
      </c>
      <c r="H11" s="155">
        <f t="shared" si="4"/>
        <v>96898787</v>
      </c>
      <c r="I11" s="155">
        <f t="shared" si="4"/>
        <v>0</v>
      </c>
      <c r="J11" s="155">
        <f t="shared" si="4"/>
        <v>0</v>
      </c>
      <c r="K11" s="155">
        <f t="shared" si="4"/>
        <v>0</v>
      </c>
      <c r="L11" s="155">
        <f>+L12+L15+L18+L19+L20+L21+L22</f>
        <v>96898787</v>
      </c>
      <c r="M11" s="155">
        <f t="shared" si="4"/>
        <v>0</v>
      </c>
      <c r="N11" s="155">
        <f t="shared" si="4"/>
        <v>0</v>
      </c>
      <c r="O11" s="155">
        <f t="shared" si="4"/>
        <v>0</v>
      </c>
      <c r="P11" s="155">
        <f t="shared" si="4"/>
        <v>96898787</v>
      </c>
      <c r="Q11" s="155">
        <f t="shared" si="4"/>
        <v>0</v>
      </c>
      <c r="R11" s="155">
        <f t="shared" si="4"/>
        <v>0</v>
      </c>
      <c r="S11" s="155">
        <f t="shared" si="4"/>
        <v>0</v>
      </c>
    </row>
    <row r="12" spans="1:19" ht="25.5" x14ac:dyDescent="0.25">
      <c r="A12" s="408">
        <v>1</v>
      </c>
      <c r="B12" s="157" t="s">
        <v>463</v>
      </c>
      <c r="C12" s="408">
        <v>10515</v>
      </c>
      <c r="D12" s="408"/>
      <c r="E12" s="76">
        <f>+E13+E14</f>
        <v>717000000</v>
      </c>
      <c r="F12" s="76">
        <f t="shared" ref="F12:P12" si="5">+F13+F14</f>
        <v>0</v>
      </c>
      <c r="G12" s="76">
        <f t="shared" si="5"/>
        <v>683820000</v>
      </c>
      <c r="H12" s="76">
        <f t="shared" si="5"/>
        <v>33180000</v>
      </c>
      <c r="I12" s="76">
        <f t="shared" si="5"/>
        <v>0</v>
      </c>
      <c r="J12" s="76">
        <f t="shared" si="5"/>
        <v>0</v>
      </c>
      <c r="K12" s="76">
        <f t="shared" si="5"/>
        <v>0</v>
      </c>
      <c r="L12" s="76">
        <f>+L13+L14</f>
        <v>33180000</v>
      </c>
      <c r="M12" s="76">
        <f t="shared" si="5"/>
        <v>0</v>
      </c>
      <c r="N12" s="76">
        <f t="shared" si="5"/>
        <v>0</v>
      </c>
      <c r="O12" s="76">
        <f t="shared" si="5"/>
        <v>0</v>
      </c>
      <c r="P12" s="76">
        <f t="shared" si="5"/>
        <v>33180000</v>
      </c>
      <c r="Q12" s="412"/>
      <c r="R12" s="412"/>
      <c r="S12" s="412"/>
    </row>
    <row r="13" spans="1:19" x14ac:dyDescent="0.25">
      <c r="A13" s="413"/>
      <c r="B13" s="158"/>
      <c r="C13" s="413"/>
      <c r="D13" s="413" t="s">
        <v>464</v>
      </c>
      <c r="E13" s="159">
        <v>683820000</v>
      </c>
      <c r="F13" s="414"/>
      <c r="G13" s="414">
        <v>683820000</v>
      </c>
      <c r="H13" s="160">
        <f>E13-G13</f>
        <v>0</v>
      </c>
      <c r="I13" s="160"/>
      <c r="J13" s="415"/>
      <c r="K13" s="416"/>
      <c r="L13" s="416">
        <f>+SUM(M13:S13)</f>
        <v>0</v>
      </c>
      <c r="M13" s="417"/>
      <c r="N13" s="417"/>
      <c r="O13" s="415"/>
      <c r="P13" s="159"/>
      <c r="Q13" s="415"/>
      <c r="R13" s="415"/>
      <c r="S13" s="415"/>
    </row>
    <row r="14" spans="1:19" x14ac:dyDescent="0.25">
      <c r="A14" s="413"/>
      <c r="B14" s="158"/>
      <c r="C14" s="413"/>
      <c r="D14" s="413" t="s">
        <v>465</v>
      </c>
      <c r="E14" s="159">
        <v>33180000</v>
      </c>
      <c r="F14" s="414"/>
      <c r="G14" s="414"/>
      <c r="H14" s="160">
        <f>E14-G14</f>
        <v>33180000</v>
      </c>
      <c r="I14" s="160"/>
      <c r="J14" s="415"/>
      <c r="K14" s="416"/>
      <c r="L14" s="416">
        <f>+SUM(M14:S14)</f>
        <v>33180000</v>
      </c>
      <c r="M14" s="417"/>
      <c r="N14" s="417"/>
      <c r="O14" s="415"/>
      <c r="P14" s="159">
        <f>+H14</f>
        <v>33180000</v>
      </c>
      <c r="Q14" s="415"/>
      <c r="R14" s="415"/>
      <c r="S14" s="415"/>
    </row>
    <row r="15" spans="1:19" ht="25.5" x14ac:dyDescent="0.25">
      <c r="A15" s="408">
        <v>2</v>
      </c>
      <c r="B15" s="157" t="s">
        <v>466</v>
      </c>
      <c r="C15" s="408">
        <v>10515</v>
      </c>
      <c r="D15" s="408"/>
      <c r="E15" s="76">
        <f>+E16+E17</f>
        <v>391800000</v>
      </c>
      <c r="F15" s="76">
        <f t="shared" ref="F15:S15" si="6">+F16+F17</f>
        <v>0</v>
      </c>
      <c r="G15" s="76">
        <f t="shared" si="6"/>
        <v>390858000</v>
      </c>
      <c r="H15" s="76">
        <f t="shared" si="6"/>
        <v>942000</v>
      </c>
      <c r="I15" s="76">
        <f t="shared" si="6"/>
        <v>0</v>
      </c>
      <c r="J15" s="76">
        <f t="shared" si="6"/>
        <v>0</v>
      </c>
      <c r="K15" s="76">
        <f t="shared" si="6"/>
        <v>0</v>
      </c>
      <c r="L15" s="76">
        <f t="shared" si="6"/>
        <v>942000</v>
      </c>
      <c r="M15" s="76">
        <f t="shared" si="6"/>
        <v>0</v>
      </c>
      <c r="N15" s="76">
        <f t="shared" si="6"/>
        <v>0</v>
      </c>
      <c r="O15" s="76">
        <f t="shared" si="6"/>
        <v>0</v>
      </c>
      <c r="P15" s="76">
        <f t="shared" si="6"/>
        <v>942000</v>
      </c>
      <c r="Q15" s="76">
        <f t="shared" si="6"/>
        <v>0</v>
      </c>
      <c r="R15" s="76">
        <f t="shared" si="6"/>
        <v>0</v>
      </c>
      <c r="S15" s="76">
        <f t="shared" si="6"/>
        <v>0</v>
      </c>
    </row>
    <row r="16" spans="1:19" x14ac:dyDescent="0.25">
      <c r="A16" s="413"/>
      <c r="B16" s="158"/>
      <c r="C16" s="413"/>
      <c r="D16" s="413" t="s">
        <v>464</v>
      </c>
      <c r="E16" s="159">
        <v>390858000</v>
      </c>
      <c r="F16" s="414"/>
      <c r="G16" s="414">
        <v>390858000</v>
      </c>
      <c r="H16" s="160">
        <f>+E16-G16</f>
        <v>0</v>
      </c>
      <c r="I16" s="160"/>
      <c r="J16" s="415"/>
      <c r="K16" s="416"/>
      <c r="L16" s="416">
        <f>+SUM(M16:S16)</f>
        <v>0</v>
      </c>
      <c r="M16" s="417"/>
      <c r="N16" s="417"/>
      <c r="O16" s="415"/>
      <c r="P16" s="414"/>
      <c r="Q16" s="415"/>
      <c r="R16" s="415"/>
      <c r="S16" s="415"/>
    </row>
    <row r="17" spans="1:19" x14ac:dyDescent="0.25">
      <c r="A17" s="413"/>
      <c r="B17" s="158"/>
      <c r="C17" s="413"/>
      <c r="D17" s="413" t="s">
        <v>465</v>
      </c>
      <c r="E17" s="159">
        <v>942000</v>
      </c>
      <c r="F17" s="414"/>
      <c r="G17" s="414"/>
      <c r="H17" s="160">
        <f>+E17-G17</f>
        <v>942000</v>
      </c>
      <c r="I17" s="160"/>
      <c r="J17" s="415"/>
      <c r="K17" s="416"/>
      <c r="L17" s="416">
        <f>+SUM(M17:S17)</f>
        <v>942000</v>
      </c>
      <c r="M17" s="417"/>
      <c r="N17" s="417"/>
      <c r="O17" s="415"/>
      <c r="P17" s="414">
        <f>+H17</f>
        <v>942000</v>
      </c>
      <c r="Q17" s="415"/>
      <c r="R17" s="415"/>
      <c r="S17" s="415"/>
    </row>
    <row r="18" spans="1:19" ht="25.5" x14ac:dyDescent="0.25">
      <c r="A18" s="408">
        <v>3</v>
      </c>
      <c r="B18" s="157" t="s">
        <v>467</v>
      </c>
      <c r="C18" s="408">
        <v>10515</v>
      </c>
      <c r="D18" s="408" t="s">
        <v>468</v>
      </c>
      <c r="E18" s="76">
        <v>153420000</v>
      </c>
      <c r="F18" s="418"/>
      <c r="G18" s="418">
        <v>153420000</v>
      </c>
      <c r="H18" s="160">
        <f>+E18-G18</f>
        <v>0</v>
      </c>
      <c r="I18" s="155"/>
      <c r="J18" s="412"/>
      <c r="K18" s="419"/>
      <c r="L18" s="419"/>
      <c r="M18" s="420"/>
      <c r="N18" s="420"/>
      <c r="O18" s="412"/>
      <c r="P18" s="418"/>
      <c r="Q18" s="412"/>
      <c r="R18" s="412"/>
      <c r="S18" s="412"/>
    </row>
    <row r="19" spans="1:19" ht="25.5" x14ac:dyDescent="0.25">
      <c r="A19" s="408">
        <v>4</v>
      </c>
      <c r="B19" s="157" t="s">
        <v>469</v>
      </c>
      <c r="C19" s="408">
        <v>10515</v>
      </c>
      <c r="D19" s="408" t="s">
        <v>468</v>
      </c>
      <c r="E19" s="76">
        <v>11866987</v>
      </c>
      <c r="F19" s="418"/>
      <c r="G19" s="418"/>
      <c r="H19" s="155">
        <f>E19-G19</f>
        <v>11866987</v>
      </c>
      <c r="I19" s="155"/>
      <c r="J19" s="412"/>
      <c r="K19" s="419"/>
      <c r="L19" s="419">
        <f>SUM(M19:S19)</f>
        <v>11866987</v>
      </c>
      <c r="M19" s="410"/>
      <c r="N19" s="412"/>
      <c r="O19" s="412"/>
      <c r="P19" s="155">
        <f>H19</f>
        <v>11866987</v>
      </c>
      <c r="Q19" s="412"/>
      <c r="R19" s="412"/>
      <c r="S19" s="412"/>
    </row>
    <row r="20" spans="1:19" s="78" customFormat="1" ht="25.5" x14ac:dyDescent="0.25">
      <c r="A20" s="408">
        <v>5</v>
      </c>
      <c r="B20" s="157" t="s">
        <v>470</v>
      </c>
      <c r="C20" s="408">
        <v>10515</v>
      </c>
      <c r="D20" s="408" t="s">
        <v>468</v>
      </c>
      <c r="E20" s="76">
        <v>24175000</v>
      </c>
      <c r="F20" s="418"/>
      <c r="G20" s="418"/>
      <c r="H20" s="155">
        <f>E20-G20</f>
        <v>24175000</v>
      </c>
      <c r="I20" s="155"/>
      <c r="J20" s="412"/>
      <c r="K20" s="419">
        <f>H20-L20</f>
        <v>0</v>
      </c>
      <c r="L20" s="419">
        <f>SUM(M20:S20)</f>
        <v>24175000</v>
      </c>
      <c r="M20" s="420"/>
      <c r="N20" s="412"/>
      <c r="O20" s="412"/>
      <c r="P20" s="76">
        <v>24175000</v>
      </c>
      <c r="Q20" s="412"/>
      <c r="R20" s="412"/>
      <c r="S20" s="412"/>
    </row>
    <row r="21" spans="1:19" s="78" customFormat="1" ht="25.5" x14ac:dyDescent="0.25">
      <c r="A21" s="408">
        <v>6</v>
      </c>
      <c r="B21" s="157" t="s">
        <v>471</v>
      </c>
      <c r="C21" s="408">
        <v>10515</v>
      </c>
      <c r="D21" s="413" t="s">
        <v>465</v>
      </c>
      <c r="E21" s="76">
        <v>6508800</v>
      </c>
      <c r="F21" s="418"/>
      <c r="G21" s="418"/>
      <c r="H21" s="155">
        <f t="shared" ref="H21:H47" si="7">E21-G21</f>
        <v>6508800</v>
      </c>
      <c r="I21" s="155"/>
      <c r="J21" s="412"/>
      <c r="K21" s="419"/>
      <c r="L21" s="419">
        <f>SUM(M21:S21)</f>
        <v>6508800</v>
      </c>
      <c r="M21" s="410"/>
      <c r="N21" s="412"/>
      <c r="O21" s="412"/>
      <c r="P21" s="155">
        <f>H21</f>
        <v>6508800</v>
      </c>
      <c r="Q21" s="412"/>
      <c r="R21" s="412"/>
      <c r="S21" s="412"/>
    </row>
    <row r="22" spans="1:19" s="78" customFormat="1" ht="25.5" x14ac:dyDescent="0.25">
      <c r="A22" s="408">
        <v>7</v>
      </c>
      <c r="B22" s="157" t="s">
        <v>472</v>
      </c>
      <c r="C22" s="408">
        <v>10515</v>
      </c>
      <c r="D22" s="413" t="s">
        <v>465</v>
      </c>
      <c r="E22" s="76">
        <v>20226000</v>
      </c>
      <c r="F22" s="418"/>
      <c r="G22" s="418"/>
      <c r="H22" s="155">
        <f t="shared" si="7"/>
        <v>20226000</v>
      </c>
      <c r="I22" s="155"/>
      <c r="J22" s="412"/>
      <c r="K22" s="419">
        <f>H22-L22</f>
        <v>0</v>
      </c>
      <c r="L22" s="419">
        <f>SUM(M22:S22)</f>
        <v>20226000</v>
      </c>
      <c r="M22" s="410"/>
      <c r="N22" s="412"/>
      <c r="O22" s="412"/>
      <c r="P22" s="76">
        <v>20226000</v>
      </c>
      <c r="Q22" s="412"/>
      <c r="R22" s="412"/>
      <c r="S22" s="412"/>
    </row>
    <row r="23" spans="1:19" x14ac:dyDescent="0.25">
      <c r="A23" s="408">
        <v>2</v>
      </c>
      <c r="B23" s="156" t="s">
        <v>473</v>
      </c>
      <c r="C23" s="408"/>
      <c r="D23" s="408"/>
      <c r="E23" s="76">
        <f t="shared" ref="E23:P23" si="8">SUM(E24:E25)</f>
        <v>272880000</v>
      </c>
      <c r="F23" s="76">
        <f t="shared" si="8"/>
        <v>0</v>
      </c>
      <c r="G23" s="76">
        <f t="shared" si="8"/>
        <v>234742490</v>
      </c>
      <c r="H23" s="76">
        <f>SUM(H24:H25)</f>
        <v>38137510</v>
      </c>
      <c r="I23" s="76">
        <f t="shared" si="8"/>
        <v>0</v>
      </c>
      <c r="J23" s="76">
        <f t="shared" si="8"/>
        <v>0</v>
      </c>
      <c r="K23" s="76">
        <f t="shared" si="8"/>
        <v>0</v>
      </c>
      <c r="L23" s="76">
        <f t="shared" si="8"/>
        <v>38137510</v>
      </c>
      <c r="M23" s="76">
        <f t="shared" si="8"/>
        <v>0</v>
      </c>
      <c r="N23" s="76">
        <f t="shared" si="8"/>
        <v>0</v>
      </c>
      <c r="O23" s="76">
        <f t="shared" si="8"/>
        <v>0</v>
      </c>
      <c r="P23" s="76">
        <f t="shared" si="8"/>
        <v>38137510</v>
      </c>
      <c r="Q23" s="412"/>
      <c r="R23" s="412"/>
      <c r="S23" s="412"/>
    </row>
    <row r="24" spans="1:19" x14ac:dyDescent="0.25">
      <c r="A24" s="413"/>
      <c r="B24" s="421" t="s">
        <v>474</v>
      </c>
      <c r="C24" s="413">
        <v>10514</v>
      </c>
      <c r="D24" s="413" t="s">
        <v>475</v>
      </c>
      <c r="E24" s="159">
        <v>87200000</v>
      </c>
      <c r="F24" s="414"/>
      <c r="G24" s="414">
        <v>87063860</v>
      </c>
      <c r="H24" s="160">
        <f t="shared" si="7"/>
        <v>136140</v>
      </c>
      <c r="I24" s="160"/>
      <c r="J24" s="415"/>
      <c r="K24" s="416">
        <f>H24-L24</f>
        <v>0</v>
      </c>
      <c r="L24" s="416">
        <f>SUM(M24:S24)</f>
        <v>136140</v>
      </c>
      <c r="M24" s="422"/>
      <c r="N24" s="415"/>
      <c r="O24" s="415"/>
      <c r="P24" s="160">
        <v>136140</v>
      </c>
      <c r="Q24" s="415"/>
      <c r="R24" s="415"/>
      <c r="S24" s="415"/>
    </row>
    <row r="25" spans="1:19" x14ac:dyDescent="0.25">
      <c r="A25" s="413"/>
      <c r="B25" s="421" t="s">
        <v>474</v>
      </c>
      <c r="C25" s="413">
        <v>10517</v>
      </c>
      <c r="D25" s="413" t="s">
        <v>475</v>
      </c>
      <c r="E25" s="159">
        <v>185680000</v>
      </c>
      <c r="F25" s="414"/>
      <c r="G25" s="414">
        <v>147678630</v>
      </c>
      <c r="H25" s="160">
        <f t="shared" si="7"/>
        <v>38001370</v>
      </c>
      <c r="I25" s="160"/>
      <c r="J25" s="415"/>
      <c r="K25" s="416">
        <f>H25-L25</f>
        <v>0</v>
      </c>
      <c r="L25" s="416">
        <f>SUM(M25:S25)</f>
        <v>38001370</v>
      </c>
      <c r="M25" s="422"/>
      <c r="N25" s="415"/>
      <c r="O25" s="415"/>
      <c r="P25" s="160">
        <v>38001370</v>
      </c>
      <c r="Q25" s="415"/>
      <c r="R25" s="415"/>
      <c r="S25" s="415"/>
    </row>
    <row r="26" spans="1:19" x14ac:dyDescent="0.25">
      <c r="A26" s="408">
        <v>3</v>
      </c>
      <c r="B26" s="156" t="s">
        <v>476</v>
      </c>
      <c r="C26" s="408"/>
      <c r="D26" s="408"/>
      <c r="E26" s="76">
        <f>+E27+E39+E45</f>
        <v>9736711340</v>
      </c>
      <c r="F26" s="76">
        <f t="shared" ref="F26:S26" si="9">+F27+F39+F45</f>
        <v>0</v>
      </c>
      <c r="G26" s="76">
        <f>+G27+G39+G45</f>
        <v>8250177948</v>
      </c>
      <c r="H26" s="76">
        <f t="shared" si="9"/>
        <v>1486533392</v>
      </c>
      <c r="I26" s="76">
        <f t="shared" si="9"/>
        <v>0</v>
      </c>
      <c r="J26" s="76">
        <f t="shared" si="9"/>
        <v>0</v>
      </c>
      <c r="K26" s="76">
        <f t="shared" si="9"/>
        <v>0</v>
      </c>
      <c r="L26" s="76">
        <f t="shared" si="9"/>
        <v>1486533392</v>
      </c>
      <c r="M26" s="76">
        <f t="shared" si="9"/>
        <v>0</v>
      </c>
      <c r="N26" s="76">
        <f t="shared" si="9"/>
        <v>0</v>
      </c>
      <c r="O26" s="76">
        <f t="shared" si="9"/>
        <v>0</v>
      </c>
      <c r="P26" s="76">
        <f t="shared" si="9"/>
        <v>1486533392</v>
      </c>
      <c r="Q26" s="76">
        <f t="shared" si="9"/>
        <v>0</v>
      </c>
      <c r="R26" s="76">
        <f t="shared" si="9"/>
        <v>0</v>
      </c>
      <c r="S26" s="76">
        <f t="shared" si="9"/>
        <v>0</v>
      </c>
    </row>
    <row r="27" spans="1:19" x14ac:dyDescent="0.25">
      <c r="A27" s="408">
        <v>3.1</v>
      </c>
      <c r="B27" s="156" t="s">
        <v>477</v>
      </c>
      <c r="C27" s="408"/>
      <c r="D27" s="408"/>
      <c r="E27" s="76">
        <f>+SUM(E28:E38)</f>
        <v>8299569598</v>
      </c>
      <c r="F27" s="76">
        <f t="shared" ref="F27:S27" si="10">+SUM(F28:F38)</f>
        <v>0</v>
      </c>
      <c r="G27" s="76">
        <f>+SUM(G28:G38)</f>
        <v>7148206269</v>
      </c>
      <c r="H27" s="76">
        <f t="shared" si="10"/>
        <v>1151363329</v>
      </c>
      <c r="I27" s="76">
        <f t="shared" si="10"/>
        <v>0</v>
      </c>
      <c r="J27" s="76">
        <f t="shared" si="10"/>
        <v>0</v>
      </c>
      <c r="K27" s="76">
        <f t="shared" si="10"/>
        <v>0</v>
      </c>
      <c r="L27" s="76">
        <f t="shared" si="10"/>
        <v>1151363329</v>
      </c>
      <c r="M27" s="76">
        <f t="shared" si="10"/>
        <v>0</v>
      </c>
      <c r="N27" s="76">
        <f t="shared" si="10"/>
        <v>0</v>
      </c>
      <c r="O27" s="76">
        <f t="shared" si="10"/>
        <v>0</v>
      </c>
      <c r="P27" s="76">
        <f t="shared" si="10"/>
        <v>1151363329</v>
      </c>
      <c r="Q27" s="76">
        <f t="shared" si="10"/>
        <v>0</v>
      </c>
      <c r="R27" s="76">
        <f t="shared" si="10"/>
        <v>0</v>
      </c>
      <c r="S27" s="76">
        <f t="shared" si="10"/>
        <v>0</v>
      </c>
    </row>
    <row r="28" spans="1:19" ht="38.25" x14ac:dyDescent="0.25">
      <c r="A28" s="413"/>
      <c r="B28" s="423" t="s">
        <v>478</v>
      </c>
      <c r="C28" s="413">
        <v>10514</v>
      </c>
      <c r="D28" s="424" t="s">
        <v>479</v>
      </c>
      <c r="E28" s="159">
        <v>1052504560</v>
      </c>
      <c r="F28" s="414">
        <v>0</v>
      </c>
      <c r="G28" s="414">
        <v>1030102000</v>
      </c>
      <c r="H28" s="160">
        <f>E28-G28</f>
        <v>22402560</v>
      </c>
      <c r="I28" s="160"/>
      <c r="J28" s="415"/>
      <c r="K28" s="416"/>
      <c r="L28" s="416">
        <f t="shared" ref="L28:L47" si="11">SUM(M28:S28)</f>
        <v>22402560</v>
      </c>
      <c r="M28" s="422"/>
      <c r="N28" s="415"/>
      <c r="O28" s="415"/>
      <c r="P28" s="160">
        <v>22402560</v>
      </c>
      <c r="Q28" s="415"/>
      <c r="R28" s="415"/>
      <c r="S28" s="415"/>
    </row>
    <row r="29" spans="1:19" ht="51" x14ac:dyDescent="0.25">
      <c r="A29" s="413"/>
      <c r="B29" s="423" t="s">
        <v>480</v>
      </c>
      <c r="C29" s="413">
        <v>10514</v>
      </c>
      <c r="D29" s="424" t="s">
        <v>481</v>
      </c>
      <c r="E29" s="159">
        <v>534659000</v>
      </c>
      <c r="F29" s="414"/>
      <c r="G29" s="414">
        <v>525438000</v>
      </c>
      <c r="H29" s="160">
        <f t="shared" si="7"/>
        <v>9221000</v>
      </c>
      <c r="I29" s="160"/>
      <c r="J29" s="415"/>
      <c r="K29" s="416"/>
      <c r="L29" s="416">
        <f t="shared" si="11"/>
        <v>9221000</v>
      </c>
      <c r="M29" s="422"/>
      <c r="N29" s="415"/>
      <c r="O29" s="415"/>
      <c r="P29" s="160">
        <v>9221000</v>
      </c>
      <c r="Q29" s="415"/>
      <c r="R29" s="415"/>
      <c r="S29" s="415"/>
    </row>
    <row r="30" spans="1:19" ht="63.75" x14ac:dyDescent="0.25">
      <c r="A30" s="413"/>
      <c r="B30" s="423" t="s">
        <v>482</v>
      </c>
      <c r="C30" s="413">
        <v>10513</v>
      </c>
      <c r="D30" s="413" t="s">
        <v>483</v>
      </c>
      <c r="E30" s="159">
        <v>1260482000</v>
      </c>
      <c r="F30" s="414"/>
      <c r="G30" s="414">
        <v>1239688269</v>
      </c>
      <c r="H30" s="160">
        <f t="shared" si="7"/>
        <v>20793731</v>
      </c>
      <c r="I30" s="160"/>
      <c r="J30" s="415"/>
      <c r="K30" s="416"/>
      <c r="L30" s="416">
        <f t="shared" si="11"/>
        <v>20793731</v>
      </c>
      <c r="M30" s="422"/>
      <c r="N30" s="415"/>
      <c r="O30" s="415"/>
      <c r="P30" s="160">
        <v>20793731</v>
      </c>
      <c r="Q30" s="415"/>
      <c r="R30" s="415"/>
      <c r="S30" s="415"/>
    </row>
    <row r="31" spans="1:19" ht="63.75" x14ac:dyDescent="0.25">
      <c r="A31" s="413"/>
      <c r="B31" s="423" t="s">
        <v>484</v>
      </c>
      <c r="C31" s="413">
        <v>10513</v>
      </c>
      <c r="D31" s="413" t="s">
        <v>485</v>
      </c>
      <c r="E31" s="159">
        <v>427899038</v>
      </c>
      <c r="F31" s="414"/>
      <c r="G31" s="414">
        <v>77568000</v>
      </c>
      <c r="H31" s="160">
        <f t="shared" si="7"/>
        <v>350331038</v>
      </c>
      <c r="I31" s="160"/>
      <c r="J31" s="415"/>
      <c r="K31" s="416"/>
      <c r="L31" s="416">
        <f t="shared" si="11"/>
        <v>350331038</v>
      </c>
      <c r="M31" s="422"/>
      <c r="N31" s="415"/>
      <c r="O31" s="415"/>
      <c r="P31" s="160">
        <v>350331038</v>
      </c>
      <c r="Q31" s="415"/>
      <c r="R31" s="415"/>
      <c r="S31" s="415"/>
    </row>
    <row r="32" spans="1:19" ht="51" x14ac:dyDescent="0.25">
      <c r="A32" s="413"/>
      <c r="B32" s="423" t="s">
        <v>480</v>
      </c>
      <c r="C32" s="413">
        <v>10514</v>
      </c>
      <c r="D32" s="413" t="s">
        <v>486</v>
      </c>
      <c r="E32" s="159">
        <v>349832000</v>
      </c>
      <c r="F32" s="414"/>
      <c r="G32" s="414">
        <v>347757000</v>
      </c>
      <c r="H32" s="160">
        <f t="shared" si="7"/>
        <v>2075000</v>
      </c>
      <c r="I32" s="160"/>
      <c r="J32" s="415"/>
      <c r="K32" s="416"/>
      <c r="L32" s="416">
        <f t="shared" si="11"/>
        <v>2075000</v>
      </c>
      <c r="M32" s="422"/>
      <c r="N32" s="415"/>
      <c r="O32" s="415"/>
      <c r="P32" s="160">
        <v>2075000</v>
      </c>
      <c r="Q32" s="415"/>
      <c r="R32" s="415"/>
      <c r="S32" s="415"/>
    </row>
    <row r="33" spans="1:19" ht="25.5" x14ac:dyDescent="0.25">
      <c r="A33" s="413"/>
      <c r="B33" s="423" t="s">
        <v>487</v>
      </c>
      <c r="C33" s="413">
        <v>10512</v>
      </c>
      <c r="D33" s="413" t="s">
        <v>488</v>
      </c>
      <c r="E33" s="159">
        <v>360000000</v>
      </c>
      <c r="F33" s="414"/>
      <c r="G33" s="414">
        <v>0</v>
      </c>
      <c r="H33" s="160">
        <f t="shared" si="7"/>
        <v>360000000</v>
      </c>
      <c r="I33" s="160"/>
      <c r="J33" s="415"/>
      <c r="K33" s="416"/>
      <c r="L33" s="416">
        <f t="shared" si="11"/>
        <v>360000000</v>
      </c>
      <c r="M33" s="422"/>
      <c r="N33" s="415"/>
      <c r="O33" s="415"/>
      <c r="P33" s="160">
        <v>360000000</v>
      </c>
      <c r="Q33" s="415"/>
      <c r="R33" s="415"/>
      <c r="S33" s="415"/>
    </row>
    <row r="34" spans="1:19" ht="51" x14ac:dyDescent="0.25">
      <c r="A34" s="413"/>
      <c r="B34" s="423" t="s">
        <v>480</v>
      </c>
      <c r="C34" s="413">
        <v>10514</v>
      </c>
      <c r="D34" s="413" t="s">
        <v>489</v>
      </c>
      <c r="E34" s="159">
        <f>700000000+2930267000</f>
        <v>3630267000</v>
      </c>
      <c r="F34" s="414"/>
      <c r="G34" s="414">
        <f>700000000+2845613000</f>
        <v>3545613000</v>
      </c>
      <c r="H34" s="160">
        <f t="shared" si="7"/>
        <v>84654000</v>
      </c>
      <c r="I34" s="160"/>
      <c r="J34" s="415"/>
      <c r="K34" s="416"/>
      <c r="L34" s="416">
        <f t="shared" si="11"/>
        <v>84654000</v>
      </c>
      <c r="M34" s="422"/>
      <c r="N34" s="415"/>
      <c r="O34" s="415"/>
      <c r="P34" s="160">
        <v>84654000</v>
      </c>
      <c r="Q34" s="415"/>
      <c r="R34" s="415"/>
      <c r="S34" s="415"/>
    </row>
    <row r="35" spans="1:19" ht="25.5" x14ac:dyDescent="0.25">
      <c r="A35" s="413"/>
      <c r="B35" s="423" t="s">
        <v>490</v>
      </c>
      <c r="C35" s="413">
        <v>10511</v>
      </c>
      <c r="D35" s="413" t="s">
        <v>491</v>
      </c>
      <c r="E35" s="159">
        <v>301786000</v>
      </c>
      <c r="F35" s="414"/>
      <c r="G35" s="414">
        <v>299900000</v>
      </c>
      <c r="H35" s="160">
        <f t="shared" si="7"/>
        <v>1886000</v>
      </c>
      <c r="I35" s="160"/>
      <c r="J35" s="415"/>
      <c r="K35" s="416"/>
      <c r="L35" s="416">
        <f t="shared" si="11"/>
        <v>1886000</v>
      </c>
      <c r="M35" s="422"/>
      <c r="N35" s="415"/>
      <c r="O35" s="415"/>
      <c r="P35" s="160">
        <v>1886000</v>
      </c>
      <c r="Q35" s="415"/>
      <c r="R35" s="415"/>
      <c r="S35" s="415"/>
    </row>
    <row r="36" spans="1:19" ht="25.5" x14ac:dyDescent="0.25">
      <c r="A36" s="413"/>
      <c r="B36" s="423" t="s">
        <v>490</v>
      </c>
      <c r="C36" s="413">
        <v>10511</v>
      </c>
      <c r="D36" s="413" t="s">
        <v>492</v>
      </c>
      <c r="E36" s="159">
        <v>75000000</v>
      </c>
      <c r="F36" s="414"/>
      <c r="G36" s="414">
        <v>75000000</v>
      </c>
      <c r="H36" s="160">
        <f t="shared" si="7"/>
        <v>0</v>
      </c>
      <c r="I36" s="160"/>
      <c r="J36" s="415"/>
      <c r="K36" s="416"/>
      <c r="L36" s="416"/>
      <c r="M36" s="422"/>
      <c r="N36" s="415"/>
      <c r="O36" s="415"/>
      <c r="P36" s="160"/>
      <c r="Q36" s="415"/>
      <c r="R36" s="415"/>
      <c r="S36" s="415"/>
    </row>
    <row r="37" spans="1:19" ht="51" x14ac:dyDescent="0.25">
      <c r="A37" s="413"/>
      <c r="B37" s="423" t="s">
        <v>493</v>
      </c>
      <c r="C37" s="413">
        <v>10513</v>
      </c>
      <c r="D37" s="413" t="s">
        <v>494</v>
      </c>
      <c r="E37" s="159">
        <v>300000000</v>
      </c>
      <c r="F37" s="414"/>
      <c r="G37" s="414">
        <v>0</v>
      </c>
      <c r="H37" s="160">
        <f t="shared" si="7"/>
        <v>300000000</v>
      </c>
      <c r="I37" s="160"/>
      <c r="J37" s="415"/>
      <c r="K37" s="416"/>
      <c r="L37" s="416">
        <f t="shared" si="11"/>
        <v>300000000</v>
      </c>
      <c r="M37" s="422"/>
      <c r="N37" s="415"/>
      <c r="O37" s="415"/>
      <c r="P37" s="160">
        <v>300000000</v>
      </c>
      <c r="Q37" s="415"/>
      <c r="R37" s="415"/>
      <c r="S37" s="415"/>
    </row>
    <row r="38" spans="1:19" ht="38.25" x14ac:dyDescent="0.25">
      <c r="A38" s="413"/>
      <c r="B38" s="423" t="s">
        <v>495</v>
      </c>
      <c r="C38" s="413">
        <v>10518</v>
      </c>
      <c r="D38" s="413">
        <v>361</v>
      </c>
      <c r="E38" s="159">
        <v>7140000</v>
      </c>
      <c r="F38" s="414"/>
      <c r="G38" s="414">
        <v>7140000</v>
      </c>
      <c r="H38" s="160">
        <f t="shared" si="7"/>
        <v>0</v>
      </c>
      <c r="I38" s="160"/>
      <c r="J38" s="415"/>
      <c r="K38" s="416"/>
      <c r="L38" s="416"/>
      <c r="M38" s="422"/>
      <c r="N38" s="415"/>
      <c r="O38" s="415"/>
      <c r="P38" s="160"/>
      <c r="Q38" s="415"/>
      <c r="R38" s="415"/>
      <c r="S38" s="415"/>
    </row>
    <row r="39" spans="1:19" x14ac:dyDescent="0.25">
      <c r="A39" s="408">
        <v>3.2</v>
      </c>
      <c r="B39" s="156" t="s">
        <v>496</v>
      </c>
      <c r="C39" s="408"/>
      <c r="D39" s="408"/>
      <c r="E39" s="76">
        <f>+SUM(E40:E44)</f>
        <v>1035136742</v>
      </c>
      <c r="F39" s="76">
        <f t="shared" ref="F39:S39" si="12">+SUM(F40:F44)</f>
        <v>0</v>
      </c>
      <c r="G39" s="76">
        <f t="shared" si="12"/>
        <v>840164000</v>
      </c>
      <c r="H39" s="76">
        <f t="shared" si="12"/>
        <v>194972742</v>
      </c>
      <c r="I39" s="76">
        <f t="shared" si="12"/>
        <v>0</v>
      </c>
      <c r="J39" s="76">
        <f t="shared" si="12"/>
        <v>0</v>
      </c>
      <c r="K39" s="76">
        <f t="shared" si="12"/>
        <v>0</v>
      </c>
      <c r="L39" s="76">
        <f t="shared" si="12"/>
        <v>194972742</v>
      </c>
      <c r="M39" s="76">
        <f t="shared" si="12"/>
        <v>0</v>
      </c>
      <c r="N39" s="76">
        <f t="shared" si="12"/>
        <v>0</v>
      </c>
      <c r="O39" s="76">
        <f t="shared" si="12"/>
        <v>0</v>
      </c>
      <c r="P39" s="76">
        <f t="shared" si="12"/>
        <v>194972742</v>
      </c>
      <c r="Q39" s="76">
        <f t="shared" si="12"/>
        <v>0</v>
      </c>
      <c r="R39" s="76">
        <f t="shared" si="12"/>
        <v>0</v>
      </c>
      <c r="S39" s="76">
        <f t="shared" si="12"/>
        <v>0</v>
      </c>
    </row>
    <row r="40" spans="1:19" ht="25.5" x14ac:dyDescent="0.25">
      <c r="A40" s="413"/>
      <c r="B40" s="423" t="s">
        <v>497</v>
      </c>
      <c r="C40" s="424">
        <v>10515</v>
      </c>
      <c r="D40" s="424" t="s">
        <v>498</v>
      </c>
      <c r="E40" s="159">
        <v>191323300</v>
      </c>
      <c r="F40" s="414"/>
      <c r="G40" s="414">
        <v>189807000</v>
      </c>
      <c r="H40" s="160">
        <f t="shared" si="7"/>
        <v>1516300</v>
      </c>
      <c r="I40" s="160"/>
      <c r="J40" s="415"/>
      <c r="K40" s="416"/>
      <c r="L40" s="416">
        <f t="shared" si="11"/>
        <v>1516300</v>
      </c>
      <c r="M40" s="422"/>
      <c r="N40" s="415"/>
      <c r="O40" s="415"/>
      <c r="P40" s="160">
        <v>1516300</v>
      </c>
      <c r="Q40" s="415"/>
      <c r="R40" s="415"/>
      <c r="S40" s="415"/>
    </row>
    <row r="41" spans="1:19" ht="38.25" x14ac:dyDescent="0.25">
      <c r="A41" s="413"/>
      <c r="B41" s="423" t="s">
        <v>499</v>
      </c>
      <c r="C41" s="424">
        <v>10516</v>
      </c>
      <c r="D41" s="424" t="s">
        <v>500</v>
      </c>
      <c r="E41" s="159">
        <v>473313442</v>
      </c>
      <c r="F41" s="414"/>
      <c r="G41" s="414">
        <v>458318000</v>
      </c>
      <c r="H41" s="160">
        <f t="shared" si="7"/>
        <v>14995442</v>
      </c>
      <c r="I41" s="160"/>
      <c r="J41" s="415"/>
      <c r="K41" s="416"/>
      <c r="L41" s="416">
        <f t="shared" si="11"/>
        <v>14995442</v>
      </c>
      <c r="M41" s="422"/>
      <c r="N41" s="415"/>
      <c r="O41" s="415"/>
      <c r="P41" s="160">
        <v>14995442</v>
      </c>
      <c r="Q41" s="415"/>
      <c r="R41" s="415"/>
      <c r="S41" s="415"/>
    </row>
    <row r="42" spans="1:19" ht="51" x14ac:dyDescent="0.25">
      <c r="A42" s="413"/>
      <c r="B42" s="423" t="s">
        <v>501</v>
      </c>
      <c r="C42" s="424">
        <v>10521</v>
      </c>
      <c r="D42" s="424" t="s">
        <v>500</v>
      </c>
      <c r="E42" s="159">
        <v>108000000</v>
      </c>
      <c r="F42" s="414"/>
      <c r="G42" s="414">
        <v>0</v>
      </c>
      <c r="H42" s="160">
        <f t="shared" si="7"/>
        <v>108000000</v>
      </c>
      <c r="I42" s="160"/>
      <c r="J42" s="415"/>
      <c r="K42" s="416"/>
      <c r="L42" s="416">
        <f t="shared" si="11"/>
        <v>108000000</v>
      </c>
      <c r="M42" s="422"/>
      <c r="N42" s="415"/>
      <c r="O42" s="415"/>
      <c r="P42" s="160">
        <v>108000000</v>
      </c>
      <c r="Q42" s="415"/>
      <c r="R42" s="415"/>
      <c r="S42" s="415"/>
    </row>
    <row r="43" spans="1:19" ht="38.25" x14ac:dyDescent="0.25">
      <c r="A43" s="413"/>
      <c r="B43" s="423" t="s">
        <v>502</v>
      </c>
      <c r="C43" s="424">
        <v>10519</v>
      </c>
      <c r="D43" s="424" t="s">
        <v>503</v>
      </c>
      <c r="E43" s="159">
        <v>10000000</v>
      </c>
      <c r="F43" s="414"/>
      <c r="G43" s="414">
        <v>9500000</v>
      </c>
      <c r="H43" s="160">
        <f t="shared" si="7"/>
        <v>500000</v>
      </c>
      <c r="I43" s="160"/>
      <c r="J43" s="415"/>
      <c r="K43" s="416"/>
      <c r="L43" s="416">
        <f t="shared" si="11"/>
        <v>500000</v>
      </c>
      <c r="M43" s="422"/>
      <c r="N43" s="415"/>
      <c r="O43" s="415"/>
      <c r="P43" s="160">
        <v>500000</v>
      </c>
      <c r="Q43" s="415"/>
      <c r="R43" s="415"/>
      <c r="S43" s="415"/>
    </row>
    <row r="44" spans="1:19" ht="51" x14ac:dyDescent="0.25">
      <c r="A44" s="413"/>
      <c r="B44" s="423" t="s">
        <v>501</v>
      </c>
      <c r="C44" s="424">
        <v>10521</v>
      </c>
      <c r="D44" s="424" t="s">
        <v>503</v>
      </c>
      <c r="E44" s="159">
        <v>252500000</v>
      </c>
      <c r="F44" s="414"/>
      <c r="G44" s="414">
        <v>182539000</v>
      </c>
      <c r="H44" s="160">
        <f t="shared" si="7"/>
        <v>69961000</v>
      </c>
      <c r="I44" s="160"/>
      <c r="J44" s="415"/>
      <c r="K44" s="416"/>
      <c r="L44" s="416">
        <f t="shared" si="11"/>
        <v>69961000</v>
      </c>
      <c r="M44" s="422"/>
      <c r="N44" s="415"/>
      <c r="O44" s="415"/>
      <c r="P44" s="160">
        <v>69961000</v>
      </c>
      <c r="Q44" s="415"/>
      <c r="R44" s="415"/>
      <c r="S44" s="415"/>
    </row>
    <row r="45" spans="1:19" x14ac:dyDescent="0.25">
      <c r="A45" s="408">
        <v>3.3</v>
      </c>
      <c r="B45" s="156" t="s">
        <v>504</v>
      </c>
      <c r="C45" s="425"/>
      <c r="D45" s="425"/>
      <c r="E45" s="76">
        <f>+SUM(E46:E47)</f>
        <v>402005000</v>
      </c>
      <c r="F45" s="76">
        <f t="shared" ref="F45:S45" si="13">+SUM(F46:F47)</f>
        <v>0</v>
      </c>
      <c r="G45" s="76">
        <f t="shared" si="13"/>
        <v>261807679</v>
      </c>
      <c r="H45" s="76">
        <f t="shared" si="13"/>
        <v>140197321</v>
      </c>
      <c r="I45" s="76">
        <f t="shared" si="13"/>
        <v>0</v>
      </c>
      <c r="J45" s="76">
        <f t="shared" si="13"/>
        <v>0</v>
      </c>
      <c r="K45" s="76">
        <f t="shared" si="13"/>
        <v>0</v>
      </c>
      <c r="L45" s="76">
        <f t="shared" si="13"/>
        <v>140197321</v>
      </c>
      <c r="M45" s="76">
        <f t="shared" si="13"/>
        <v>0</v>
      </c>
      <c r="N45" s="76">
        <f t="shared" si="13"/>
        <v>0</v>
      </c>
      <c r="O45" s="76">
        <f t="shared" si="13"/>
        <v>0</v>
      </c>
      <c r="P45" s="76">
        <f t="shared" si="13"/>
        <v>140197321</v>
      </c>
      <c r="Q45" s="76">
        <f t="shared" si="13"/>
        <v>0</v>
      </c>
      <c r="R45" s="76">
        <f t="shared" si="13"/>
        <v>0</v>
      </c>
      <c r="S45" s="76">
        <f t="shared" si="13"/>
        <v>0</v>
      </c>
    </row>
    <row r="46" spans="1:19" ht="38.25" x14ac:dyDescent="0.25">
      <c r="A46" s="413"/>
      <c r="B46" s="423" t="s">
        <v>495</v>
      </c>
      <c r="C46" s="424">
        <v>10518</v>
      </c>
      <c r="D46" s="424" t="s">
        <v>505</v>
      </c>
      <c r="E46" s="159">
        <v>372000000</v>
      </c>
      <c r="F46" s="414"/>
      <c r="G46" s="414">
        <v>236285000</v>
      </c>
      <c r="H46" s="160">
        <f t="shared" si="7"/>
        <v>135715000</v>
      </c>
      <c r="I46" s="160"/>
      <c r="J46" s="415"/>
      <c r="K46" s="416"/>
      <c r="L46" s="416">
        <f t="shared" si="11"/>
        <v>135715000</v>
      </c>
      <c r="M46" s="422"/>
      <c r="N46" s="415"/>
      <c r="O46" s="415"/>
      <c r="P46" s="160">
        <v>135715000</v>
      </c>
      <c r="Q46" s="415"/>
      <c r="R46" s="415"/>
      <c r="S46" s="415"/>
    </row>
    <row r="47" spans="1:19" ht="51" x14ac:dyDescent="0.25">
      <c r="A47" s="413"/>
      <c r="B47" s="423" t="s">
        <v>501</v>
      </c>
      <c r="C47" s="424">
        <v>10521</v>
      </c>
      <c r="D47" s="424" t="s">
        <v>505</v>
      </c>
      <c r="E47" s="159">
        <v>30005000</v>
      </c>
      <c r="F47" s="414"/>
      <c r="G47" s="414">
        <v>25522679</v>
      </c>
      <c r="H47" s="160">
        <f t="shared" si="7"/>
        <v>4482321</v>
      </c>
      <c r="I47" s="160"/>
      <c r="J47" s="415"/>
      <c r="K47" s="416"/>
      <c r="L47" s="416">
        <f t="shared" si="11"/>
        <v>4482321</v>
      </c>
      <c r="M47" s="422"/>
      <c r="N47" s="415"/>
      <c r="O47" s="415"/>
      <c r="P47" s="160">
        <v>4482321</v>
      </c>
      <c r="Q47" s="415"/>
      <c r="R47" s="415"/>
      <c r="S47" s="415"/>
    </row>
    <row r="48" spans="1:19" ht="25.5" x14ac:dyDescent="0.25">
      <c r="A48" s="408" t="s">
        <v>3</v>
      </c>
      <c r="B48" s="411" t="s">
        <v>506</v>
      </c>
      <c r="C48" s="424"/>
      <c r="D48" s="424"/>
      <c r="E48" s="76">
        <f t="shared" ref="E48:S48" si="14">+E49+E51</f>
        <v>9001240395</v>
      </c>
      <c r="F48" s="76">
        <f t="shared" si="14"/>
        <v>0</v>
      </c>
      <c r="G48" s="76">
        <f>+G49+G51</f>
        <v>8797809513</v>
      </c>
      <c r="H48" s="76">
        <f t="shared" si="14"/>
        <v>203430882</v>
      </c>
      <c r="I48" s="76">
        <f t="shared" si="14"/>
        <v>0</v>
      </c>
      <c r="J48" s="76">
        <f t="shared" si="14"/>
        <v>0</v>
      </c>
      <c r="K48" s="76">
        <f t="shared" si="14"/>
        <v>0</v>
      </c>
      <c r="L48" s="76">
        <f t="shared" si="14"/>
        <v>203430882</v>
      </c>
      <c r="M48" s="76">
        <f t="shared" si="14"/>
        <v>0</v>
      </c>
      <c r="N48" s="76">
        <f t="shared" si="14"/>
        <v>0</v>
      </c>
      <c r="O48" s="76">
        <f t="shared" si="14"/>
        <v>0</v>
      </c>
      <c r="P48" s="76">
        <f t="shared" si="14"/>
        <v>203430882</v>
      </c>
      <c r="Q48" s="76">
        <f t="shared" si="14"/>
        <v>0</v>
      </c>
      <c r="R48" s="76">
        <f t="shared" si="14"/>
        <v>0</v>
      </c>
      <c r="S48" s="76">
        <f t="shared" si="14"/>
        <v>0</v>
      </c>
    </row>
    <row r="49" spans="1:19" x14ac:dyDescent="0.25">
      <c r="A49" s="408">
        <v>1</v>
      </c>
      <c r="B49" s="156" t="s">
        <v>473</v>
      </c>
      <c r="C49" s="424"/>
      <c r="D49" s="424"/>
      <c r="E49" s="76">
        <f t="shared" ref="E49:S49" si="15">+E50</f>
        <v>280000000</v>
      </c>
      <c r="F49" s="76">
        <f t="shared" si="15"/>
        <v>0</v>
      </c>
      <c r="G49" s="76">
        <f t="shared" si="15"/>
        <v>277470000</v>
      </c>
      <c r="H49" s="76">
        <f t="shared" si="15"/>
        <v>2530000</v>
      </c>
      <c r="I49" s="76">
        <f t="shared" si="15"/>
        <v>0</v>
      </c>
      <c r="J49" s="76">
        <f t="shared" si="15"/>
        <v>0</v>
      </c>
      <c r="K49" s="76">
        <f t="shared" si="15"/>
        <v>0</v>
      </c>
      <c r="L49" s="76">
        <f t="shared" si="15"/>
        <v>2530000</v>
      </c>
      <c r="M49" s="76">
        <f t="shared" si="15"/>
        <v>0</v>
      </c>
      <c r="N49" s="76">
        <f t="shared" si="15"/>
        <v>0</v>
      </c>
      <c r="O49" s="76">
        <f t="shared" si="15"/>
        <v>0</v>
      </c>
      <c r="P49" s="76">
        <f t="shared" si="15"/>
        <v>2530000</v>
      </c>
      <c r="Q49" s="76">
        <f t="shared" si="15"/>
        <v>0</v>
      </c>
      <c r="R49" s="76">
        <f t="shared" si="15"/>
        <v>0</v>
      </c>
      <c r="S49" s="76">
        <f t="shared" si="15"/>
        <v>0</v>
      </c>
    </row>
    <row r="50" spans="1:19" x14ac:dyDescent="0.25">
      <c r="A50" s="413"/>
      <c r="B50" s="421" t="s">
        <v>474</v>
      </c>
      <c r="C50" s="413">
        <v>10473</v>
      </c>
      <c r="D50" s="413" t="s">
        <v>507</v>
      </c>
      <c r="E50" s="159">
        <v>280000000</v>
      </c>
      <c r="F50" s="414"/>
      <c r="G50" s="414">
        <v>277470000</v>
      </c>
      <c r="H50" s="160">
        <f>E50-G50</f>
        <v>2530000</v>
      </c>
      <c r="I50" s="160"/>
      <c r="J50" s="415"/>
      <c r="K50" s="416">
        <f>H50-L50</f>
        <v>0</v>
      </c>
      <c r="L50" s="416">
        <f>SUM(M50:S50)</f>
        <v>2530000</v>
      </c>
      <c r="M50" s="422"/>
      <c r="N50" s="415"/>
      <c r="O50" s="415"/>
      <c r="P50" s="160">
        <v>2530000</v>
      </c>
      <c r="Q50" s="415"/>
      <c r="R50" s="415"/>
      <c r="S50" s="415"/>
    </row>
    <row r="51" spans="1:19" x14ac:dyDescent="0.25">
      <c r="A51" s="408">
        <v>2</v>
      </c>
      <c r="B51" s="156" t="s">
        <v>476</v>
      </c>
      <c r="C51" s="424"/>
      <c r="D51" s="424"/>
      <c r="E51" s="76">
        <f>+E52+E62+E65</f>
        <v>8721240395</v>
      </c>
      <c r="F51" s="76">
        <f t="shared" ref="F51:S51" si="16">+F52+F62+F65</f>
        <v>0</v>
      </c>
      <c r="G51" s="76">
        <f>+G52+G62+G65</f>
        <v>8520339513</v>
      </c>
      <c r="H51" s="76">
        <f>+H52+H62+H65</f>
        <v>200900882</v>
      </c>
      <c r="I51" s="76">
        <f t="shared" si="16"/>
        <v>0</v>
      </c>
      <c r="J51" s="76">
        <f t="shared" si="16"/>
        <v>0</v>
      </c>
      <c r="K51" s="76">
        <f t="shared" si="16"/>
        <v>0</v>
      </c>
      <c r="L51" s="76">
        <f t="shared" si="16"/>
        <v>200900882</v>
      </c>
      <c r="M51" s="76">
        <f t="shared" si="16"/>
        <v>0</v>
      </c>
      <c r="N51" s="76">
        <f t="shared" si="16"/>
        <v>0</v>
      </c>
      <c r="O51" s="76">
        <f t="shared" si="16"/>
        <v>0</v>
      </c>
      <c r="P51" s="76">
        <f t="shared" si="16"/>
        <v>200900882</v>
      </c>
      <c r="Q51" s="76">
        <f t="shared" si="16"/>
        <v>0</v>
      </c>
      <c r="R51" s="76">
        <f t="shared" si="16"/>
        <v>0</v>
      </c>
      <c r="S51" s="76">
        <f t="shared" si="16"/>
        <v>0</v>
      </c>
    </row>
    <row r="52" spans="1:19" x14ac:dyDescent="0.25">
      <c r="A52" s="408">
        <v>2.1</v>
      </c>
      <c r="B52" s="156" t="s">
        <v>477</v>
      </c>
      <c r="C52" s="408"/>
      <c r="D52" s="408"/>
      <c r="E52" s="76">
        <f>+SUM(E53:E61)</f>
        <v>8366853809</v>
      </c>
      <c r="F52" s="76">
        <f>+SUM(F53:F61)</f>
        <v>0</v>
      </c>
      <c r="G52" s="76">
        <f>+SUM(G53:G61)</f>
        <v>8267474879</v>
      </c>
      <c r="H52" s="76">
        <f>+SUM(H53:H61)</f>
        <v>99378930</v>
      </c>
      <c r="I52" s="76">
        <f t="shared" ref="I52:S52" si="17">+SUM(I53:I61)</f>
        <v>0</v>
      </c>
      <c r="J52" s="76">
        <f t="shared" si="17"/>
        <v>0</v>
      </c>
      <c r="K52" s="76">
        <f t="shared" si="17"/>
        <v>0</v>
      </c>
      <c r="L52" s="76">
        <f t="shared" si="17"/>
        <v>99378930</v>
      </c>
      <c r="M52" s="76">
        <f t="shared" si="17"/>
        <v>0</v>
      </c>
      <c r="N52" s="76">
        <f t="shared" si="17"/>
        <v>0</v>
      </c>
      <c r="O52" s="76">
        <f t="shared" si="17"/>
        <v>0</v>
      </c>
      <c r="P52" s="76">
        <f t="shared" si="17"/>
        <v>99378930</v>
      </c>
      <c r="Q52" s="76">
        <f t="shared" si="17"/>
        <v>0</v>
      </c>
      <c r="R52" s="76">
        <f t="shared" si="17"/>
        <v>0</v>
      </c>
      <c r="S52" s="76">
        <f t="shared" si="17"/>
        <v>0</v>
      </c>
    </row>
    <row r="53" spans="1:19" ht="63.75" x14ac:dyDescent="0.25">
      <c r="A53" s="413"/>
      <c r="B53" s="423" t="s">
        <v>508</v>
      </c>
      <c r="C53" s="413">
        <v>10471</v>
      </c>
      <c r="D53" s="424" t="s">
        <v>481</v>
      </c>
      <c r="E53" s="159">
        <v>595707000</v>
      </c>
      <c r="F53" s="414"/>
      <c r="G53" s="414">
        <v>577479000</v>
      </c>
      <c r="H53" s="160">
        <f t="shared" ref="H53:H61" si="18">E53-G53</f>
        <v>18228000</v>
      </c>
      <c r="I53" s="160"/>
      <c r="J53" s="415"/>
      <c r="K53" s="416"/>
      <c r="L53" s="416">
        <f t="shared" ref="L53:L61" si="19">SUM(M53:S53)</f>
        <v>18228000</v>
      </c>
      <c r="M53" s="422"/>
      <c r="N53" s="415"/>
      <c r="O53" s="415"/>
      <c r="P53" s="160">
        <v>18228000</v>
      </c>
      <c r="Q53" s="415"/>
      <c r="R53" s="415"/>
      <c r="S53" s="415"/>
    </row>
    <row r="54" spans="1:19" ht="63.75" x14ac:dyDescent="0.25">
      <c r="A54" s="413"/>
      <c r="B54" s="423" t="s">
        <v>508</v>
      </c>
      <c r="C54" s="413">
        <v>10471</v>
      </c>
      <c r="D54" s="424" t="s">
        <v>509</v>
      </c>
      <c r="E54" s="159">
        <v>136000000</v>
      </c>
      <c r="F54" s="414"/>
      <c r="G54" s="414">
        <v>136000000</v>
      </c>
      <c r="H54" s="160">
        <f t="shared" si="18"/>
        <v>0</v>
      </c>
      <c r="I54" s="160"/>
      <c r="J54" s="415"/>
      <c r="K54" s="416"/>
      <c r="L54" s="416"/>
      <c r="M54" s="422"/>
      <c r="N54" s="415"/>
      <c r="O54" s="415"/>
      <c r="P54" s="160"/>
      <c r="Q54" s="415"/>
      <c r="R54" s="415"/>
      <c r="S54" s="415"/>
    </row>
    <row r="55" spans="1:19" ht="25.5" x14ac:dyDescent="0.25">
      <c r="A55" s="413"/>
      <c r="B55" s="423" t="s">
        <v>510</v>
      </c>
      <c r="C55" s="413">
        <v>10472</v>
      </c>
      <c r="D55" s="413">
        <v>281</v>
      </c>
      <c r="E55" s="159">
        <v>1721388000</v>
      </c>
      <c r="F55" s="414"/>
      <c r="G55" s="414">
        <v>1689025979</v>
      </c>
      <c r="H55" s="160">
        <f t="shared" si="18"/>
        <v>32362021</v>
      </c>
      <c r="I55" s="160"/>
      <c r="J55" s="415"/>
      <c r="K55" s="416"/>
      <c r="L55" s="416">
        <f t="shared" si="19"/>
        <v>32362021</v>
      </c>
      <c r="M55" s="422"/>
      <c r="N55" s="415"/>
      <c r="O55" s="415"/>
      <c r="P55" s="160">
        <v>32362021</v>
      </c>
      <c r="Q55" s="415"/>
      <c r="R55" s="415"/>
      <c r="S55" s="415"/>
    </row>
    <row r="56" spans="1:19" ht="25.5" x14ac:dyDescent="0.25">
      <c r="A56" s="413"/>
      <c r="B56" s="423" t="s">
        <v>511</v>
      </c>
      <c r="C56" s="413">
        <v>10473</v>
      </c>
      <c r="D56" s="413" t="s">
        <v>512</v>
      </c>
      <c r="E56" s="159">
        <v>2370000</v>
      </c>
      <c r="F56" s="414"/>
      <c r="G56" s="414">
        <v>0</v>
      </c>
      <c r="H56" s="160">
        <f t="shared" si="18"/>
        <v>2370000</v>
      </c>
      <c r="I56" s="160"/>
      <c r="J56" s="415"/>
      <c r="K56" s="416"/>
      <c r="L56" s="416">
        <f t="shared" si="19"/>
        <v>2370000</v>
      </c>
      <c r="M56" s="422"/>
      <c r="N56" s="415"/>
      <c r="O56" s="415"/>
      <c r="P56" s="160">
        <v>2370000</v>
      </c>
      <c r="Q56" s="415"/>
      <c r="R56" s="415"/>
      <c r="S56" s="415"/>
    </row>
    <row r="57" spans="1:19" ht="25.5" x14ac:dyDescent="0.25">
      <c r="A57" s="413"/>
      <c r="B57" s="423" t="s">
        <v>513</v>
      </c>
      <c r="C57" s="413">
        <v>10475</v>
      </c>
      <c r="D57" s="413" t="s">
        <v>514</v>
      </c>
      <c r="E57" s="159">
        <v>3995850000</v>
      </c>
      <c r="F57" s="414"/>
      <c r="G57" s="414">
        <v>3995850000</v>
      </c>
      <c r="H57" s="160">
        <f t="shared" si="18"/>
        <v>0</v>
      </c>
      <c r="I57" s="160"/>
      <c r="J57" s="415"/>
      <c r="K57" s="416"/>
      <c r="L57" s="416">
        <f t="shared" si="19"/>
        <v>0</v>
      </c>
      <c r="M57" s="422"/>
      <c r="N57" s="415"/>
      <c r="O57" s="415"/>
      <c r="P57" s="160"/>
      <c r="Q57" s="415"/>
      <c r="R57" s="415"/>
      <c r="S57" s="415"/>
    </row>
    <row r="58" spans="1:19" ht="25.5" x14ac:dyDescent="0.25">
      <c r="A58" s="413"/>
      <c r="B58" s="423" t="s">
        <v>513</v>
      </c>
      <c r="C58" s="413">
        <v>10475</v>
      </c>
      <c r="D58" s="413" t="s">
        <v>515</v>
      </c>
      <c r="E58" s="159">
        <v>200000000</v>
      </c>
      <c r="F58" s="414"/>
      <c r="G58" s="414">
        <v>200000000</v>
      </c>
      <c r="H58" s="160">
        <f t="shared" si="18"/>
        <v>0</v>
      </c>
      <c r="I58" s="160"/>
      <c r="J58" s="415"/>
      <c r="K58" s="416"/>
      <c r="L58" s="416"/>
      <c r="M58" s="422"/>
      <c r="N58" s="415"/>
      <c r="O58" s="415"/>
      <c r="P58" s="160"/>
      <c r="Q58" s="415"/>
      <c r="R58" s="415"/>
      <c r="S58" s="415"/>
    </row>
    <row r="59" spans="1:19" ht="63.75" x14ac:dyDescent="0.25">
      <c r="A59" s="413"/>
      <c r="B59" s="423" t="s">
        <v>508</v>
      </c>
      <c r="C59" s="413">
        <v>10471</v>
      </c>
      <c r="D59" s="413" t="s">
        <v>516</v>
      </c>
      <c r="E59" s="159">
        <f>180000000+376227000</f>
        <v>556227000</v>
      </c>
      <c r="F59" s="414"/>
      <c r="G59" s="414">
        <f>180000000+361363000</f>
        <v>541363000</v>
      </c>
      <c r="H59" s="160">
        <f t="shared" si="18"/>
        <v>14864000</v>
      </c>
      <c r="I59" s="160"/>
      <c r="J59" s="415"/>
      <c r="K59" s="416"/>
      <c r="L59" s="416">
        <f t="shared" si="19"/>
        <v>14864000</v>
      </c>
      <c r="M59" s="422"/>
      <c r="N59" s="415"/>
      <c r="O59" s="415"/>
      <c r="P59" s="160">
        <v>14864000</v>
      </c>
      <c r="Q59" s="415"/>
      <c r="R59" s="415"/>
      <c r="S59" s="415"/>
    </row>
    <row r="60" spans="1:19" ht="63.75" x14ac:dyDescent="0.25">
      <c r="A60" s="413"/>
      <c r="B60" s="423" t="s">
        <v>508</v>
      </c>
      <c r="C60" s="413">
        <v>10471</v>
      </c>
      <c r="D60" s="413" t="s">
        <v>517</v>
      </c>
      <c r="E60" s="159">
        <f>321689000+697919023</f>
        <v>1019608023</v>
      </c>
      <c r="F60" s="414"/>
      <c r="G60" s="414">
        <f>321689000+670113900</f>
        <v>991802900</v>
      </c>
      <c r="H60" s="160">
        <f t="shared" si="18"/>
        <v>27805123</v>
      </c>
      <c r="I60" s="160"/>
      <c r="J60" s="415"/>
      <c r="K60" s="416"/>
      <c r="L60" s="416">
        <f t="shared" si="19"/>
        <v>27805123</v>
      </c>
      <c r="M60" s="422"/>
      <c r="N60" s="415"/>
      <c r="O60" s="415"/>
      <c r="P60" s="160">
        <v>27805123</v>
      </c>
      <c r="Q60" s="415"/>
      <c r="R60" s="415"/>
      <c r="S60" s="415"/>
    </row>
    <row r="61" spans="1:19" ht="25.5" x14ac:dyDescent="0.25">
      <c r="A61" s="413"/>
      <c r="B61" s="423" t="s">
        <v>518</v>
      </c>
      <c r="C61" s="413">
        <v>10477</v>
      </c>
      <c r="D61" s="413" t="s">
        <v>503</v>
      </c>
      <c r="E61" s="159">
        <v>139703786</v>
      </c>
      <c r="F61" s="414"/>
      <c r="G61" s="414">
        <v>135954000</v>
      </c>
      <c r="H61" s="160">
        <f t="shared" si="18"/>
        <v>3749786</v>
      </c>
      <c r="I61" s="160"/>
      <c r="J61" s="415"/>
      <c r="K61" s="416"/>
      <c r="L61" s="416">
        <f t="shared" si="19"/>
        <v>3749786</v>
      </c>
      <c r="M61" s="422"/>
      <c r="N61" s="415"/>
      <c r="O61" s="415"/>
      <c r="P61" s="160">
        <v>3749786</v>
      </c>
      <c r="Q61" s="415"/>
      <c r="R61" s="415"/>
      <c r="S61" s="415"/>
    </row>
    <row r="62" spans="1:19" x14ac:dyDescent="0.25">
      <c r="A62" s="408">
        <v>2.2000000000000002</v>
      </c>
      <c r="B62" s="156" t="s">
        <v>496</v>
      </c>
      <c r="C62" s="425"/>
      <c r="D62" s="425"/>
      <c r="E62" s="76">
        <f>+SUM(E63:E64)</f>
        <v>241659586</v>
      </c>
      <c r="F62" s="76">
        <f>+SUM(F63:F64)</f>
        <v>0</v>
      </c>
      <c r="G62" s="76">
        <f>+SUM(G63:G64)</f>
        <v>149618634</v>
      </c>
      <c r="H62" s="76">
        <f>+SUM(H63:H64)</f>
        <v>92040952</v>
      </c>
      <c r="I62" s="76">
        <f t="shared" ref="I62:S62" si="20">+SUM(I63:I64)</f>
        <v>0</v>
      </c>
      <c r="J62" s="76">
        <f t="shared" si="20"/>
        <v>0</v>
      </c>
      <c r="K62" s="76">
        <f t="shared" si="20"/>
        <v>0</v>
      </c>
      <c r="L62" s="76">
        <f t="shared" si="20"/>
        <v>92040952</v>
      </c>
      <c r="M62" s="76">
        <f t="shared" si="20"/>
        <v>0</v>
      </c>
      <c r="N62" s="76">
        <f t="shared" si="20"/>
        <v>0</v>
      </c>
      <c r="O62" s="76">
        <f t="shared" si="20"/>
        <v>0</v>
      </c>
      <c r="P62" s="76">
        <f t="shared" si="20"/>
        <v>92040952</v>
      </c>
      <c r="Q62" s="76">
        <f t="shared" si="20"/>
        <v>0</v>
      </c>
      <c r="R62" s="76">
        <f t="shared" si="20"/>
        <v>0</v>
      </c>
      <c r="S62" s="76">
        <f t="shared" si="20"/>
        <v>0</v>
      </c>
    </row>
    <row r="63" spans="1:19" ht="25.5" x14ac:dyDescent="0.25">
      <c r="A63" s="413"/>
      <c r="B63" s="423" t="s">
        <v>519</v>
      </c>
      <c r="C63" s="424">
        <v>10474</v>
      </c>
      <c r="D63" s="424" t="s">
        <v>503</v>
      </c>
      <c r="E63" s="159">
        <v>141659586</v>
      </c>
      <c r="F63" s="414"/>
      <c r="G63" s="414">
        <v>49703634</v>
      </c>
      <c r="H63" s="160">
        <f>E63-G63</f>
        <v>91955952</v>
      </c>
      <c r="I63" s="160"/>
      <c r="J63" s="415"/>
      <c r="K63" s="416"/>
      <c r="L63" s="416">
        <f>SUM(M63:S63)</f>
        <v>91955952</v>
      </c>
      <c r="M63" s="422"/>
      <c r="N63" s="415"/>
      <c r="O63" s="415"/>
      <c r="P63" s="160">
        <v>91955952</v>
      </c>
      <c r="Q63" s="415"/>
      <c r="R63" s="415"/>
      <c r="S63" s="415"/>
    </row>
    <row r="64" spans="1:19" ht="25.5" x14ac:dyDescent="0.25">
      <c r="A64" s="413"/>
      <c r="B64" s="423" t="s">
        <v>520</v>
      </c>
      <c r="C64" s="424">
        <v>10476</v>
      </c>
      <c r="D64" s="424" t="s">
        <v>503</v>
      </c>
      <c r="E64" s="159">
        <v>100000000</v>
      </c>
      <c r="F64" s="414"/>
      <c r="G64" s="414">
        <v>99915000</v>
      </c>
      <c r="H64" s="160">
        <f>E64-G64</f>
        <v>85000</v>
      </c>
      <c r="I64" s="160"/>
      <c r="J64" s="415"/>
      <c r="K64" s="416"/>
      <c r="L64" s="416">
        <f>SUM(M64:S64)</f>
        <v>85000</v>
      </c>
      <c r="M64" s="422"/>
      <c r="N64" s="415"/>
      <c r="O64" s="415"/>
      <c r="P64" s="160">
        <v>85000</v>
      </c>
      <c r="Q64" s="415"/>
      <c r="R64" s="415"/>
      <c r="S64" s="415"/>
    </row>
    <row r="65" spans="1:19" x14ac:dyDescent="0.25">
      <c r="A65" s="408">
        <v>2.2999999999999998</v>
      </c>
      <c r="B65" s="156" t="s">
        <v>504</v>
      </c>
      <c r="C65" s="425"/>
      <c r="D65" s="425"/>
      <c r="E65" s="76">
        <f>+E66</f>
        <v>112727000</v>
      </c>
      <c r="F65" s="418"/>
      <c r="G65" s="418">
        <f>+G66</f>
        <v>103246000</v>
      </c>
      <c r="H65" s="155">
        <f>+H66</f>
        <v>9481000</v>
      </c>
      <c r="I65" s="155">
        <f t="shared" ref="I65:P65" si="21">+I66</f>
        <v>0</v>
      </c>
      <c r="J65" s="155">
        <f t="shared" si="21"/>
        <v>0</v>
      </c>
      <c r="K65" s="155">
        <f t="shared" si="21"/>
        <v>0</v>
      </c>
      <c r="L65" s="155">
        <f t="shared" si="21"/>
        <v>9481000</v>
      </c>
      <c r="M65" s="155">
        <f t="shared" si="21"/>
        <v>0</v>
      </c>
      <c r="N65" s="155">
        <f t="shared" si="21"/>
        <v>0</v>
      </c>
      <c r="O65" s="155">
        <f t="shared" si="21"/>
        <v>0</v>
      </c>
      <c r="P65" s="155">
        <f t="shared" si="21"/>
        <v>9481000</v>
      </c>
      <c r="Q65" s="412"/>
      <c r="R65" s="412"/>
      <c r="S65" s="412"/>
    </row>
    <row r="66" spans="1:19" ht="25.5" x14ac:dyDescent="0.25">
      <c r="A66" s="413"/>
      <c r="B66" s="423" t="s">
        <v>518</v>
      </c>
      <c r="C66" s="424">
        <v>10477</v>
      </c>
      <c r="D66" s="424">
        <v>361</v>
      </c>
      <c r="E66" s="159">
        <v>112727000</v>
      </c>
      <c r="F66" s="414"/>
      <c r="G66" s="414">
        <v>103246000</v>
      </c>
      <c r="H66" s="160">
        <f>E66-G66</f>
        <v>9481000</v>
      </c>
      <c r="I66" s="160"/>
      <c r="J66" s="415"/>
      <c r="K66" s="416"/>
      <c r="L66" s="416">
        <f>SUM(M66:S66)</f>
        <v>9481000</v>
      </c>
      <c r="M66" s="422"/>
      <c r="N66" s="415"/>
      <c r="O66" s="415"/>
      <c r="P66" s="160">
        <v>9481000</v>
      </c>
      <c r="Q66" s="415"/>
      <c r="R66" s="415"/>
      <c r="S66" s="415"/>
    </row>
    <row r="67" spans="1:19" x14ac:dyDescent="0.25">
      <c r="A67" s="408" t="s">
        <v>159</v>
      </c>
      <c r="B67" s="411" t="s">
        <v>521</v>
      </c>
      <c r="C67" s="154"/>
      <c r="D67" s="154"/>
      <c r="E67" s="155">
        <f>E68+E124+E130+E184+E185+E186</f>
        <v>199068151889</v>
      </c>
      <c r="F67" s="155">
        <f t="shared" ref="F67:S67" si="22">F68+F124+F130+F184+F185+F186</f>
        <v>0</v>
      </c>
      <c r="G67" s="155">
        <f t="shared" si="22"/>
        <v>182450447502</v>
      </c>
      <c r="H67" s="155">
        <f t="shared" si="22"/>
        <v>16617704387</v>
      </c>
      <c r="I67" s="155">
        <f t="shared" si="22"/>
        <v>0</v>
      </c>
      <c r="J67" s="155">
        <f t="shared" si="22"/>
        <v>0</v>
      </c>
      <c r="K67" s="155">
        <f t="shared" si="22"/>
        <v>0</v>
      </c>
      <c r="L67" s="155">
        <f t="shared" si="22"/>
        <v>15666199712</v>
      </c>
      <c r="M67" s="155">
        <f t="shared" si="22"/>
        <v>5861173981</v>
      </c>
      <c r="N67" s="155">
        <f t="shared" si="22"/>
        <v>8781530406</v>
      </c>
      <c r="O67" s="155">
        <f t="shared" si="22"/>
        <v>0</v>
      </c>
      <c r="P67" s="155">
        <f>P68+P124+P130+P184+P185+P186</f>
        <v>1975000000</v>
      </c>
      <c r="Q67" s="155">
        <f t="shared" si="22"/>
        <v>0</v>
      </c>
      <c r="R67" s="155">
        <f t="shared" si="22"/>
        <v>0</v>
      </c>
      <c r="S67" s="155">
        <f t="shared" si="22"/>
        <v>0</v>
      </c>
    </row>
    <row r="68" spans="1:19" x14ac:dyDescent="0.25">
      <c r="A68" s="408">
        <v>1</v>
      </c>
      <c r="B68" s="156" t="s">
        <v>462</v>
      </c>
      <c r="C68" s="154"/>
      <c r="D68" s="154"/>
      <c r="E68" s="155">
        <f>E69+E74+E79+E84+E89+E94+E99+E104+E109+E114+E119</f>
        <v>120865767135</v>
      </c>
      <c r="F68" s="155">
        <f t="shared" ref="F68:S68" si="23">F69+F74+F79+F84+F89+F94+F99+F104+F109+F114+F119</f>
        <v>0</v>
      </c>
      <c r="G68" s="155">
        <f t="shared" si="23"/>
        <v>115130890610</v>
      </c>
      <c r="H68" s="155">
        <f t="shared" si="23"/>
        <v>5734876525</v>
      </c>
      <c r="I68" s="155">
        <f t="shared" si="23"/>
        <v>0</v>
      </c>
      <c r="J68" s="155">
        <f t="shared" si="23"/>
        <v>0</v>
      </c>
      <c r="K68" s="155">
        <f t="shared" si="23"/>
        <v>0</v>
      </c>
      <c r="L68" s="155">
        <f>L69+L74+L79+L84+L89+L94+L99+L104+L109+L114+L119</f>
        <v>5734876525</v>
      </c>
      <c r="M68" s="155">
        <f t="shared" si="23"/>
        <v>78118792</v>
      </c>
      <c r="N68" s="155">
        <f t="shared" si="23"/>
        <v>5656757733</v>
      </c>
      <c r="O68" s="155">
        <f t="shared" si="23"/>
        <v>0</v>
      </c>
      <c r="P68" s="155">
        <f t="shared" si="23"/>
        <v>0</v>
      </c>
      <c r="Q68" s="155">
        <f t="shared" si="23"/>
        <v>0</v>
      </c>
      <c r="R68" s="155">
        <f t="shared" si="23"/>
        <v>0</v>
      </c>
      <c r="S68" s="155">
        <f t="shared" si="23"/>
        <v>0</v>
      </c>
    </row>
    <row r="69" spans="1:19" ht="25.5" x14ac:dyDescent="0.25">
      <c r="A69" s="408">
        <v>1.1000000000000001</v>
      </c>
      <c r="B69" s="157" t="s">
        <v>463</v>
      </c>
      <c r="C69" s="408">
        <v>1126578</v>
      </c>
      <c r="D69" s="408"/>
      <c r="E69" s="76">
        <f>+SUM(E70:E73)</f>
        <v>11610966500</v>
      </c>
      <c r="F69" s="76">
        <f t="shared" ref="F69:S69" si="24">+SUM(F70:F73)</f>
        <v>0</v>
      </c>
      <c r="G69" s="76">
        <f>+SUM(G70:G73)</f>
        <v>11081057185</v>
      </c>
      <c r="H69" s="76">
        <f t="shared" si="24"/>
        <v>529909315</v>
      </c>
      <c r="I69" s="76">
        <f t="shared" si="24"/>
        <v>0</v>
      </c>
      <c r="J69" s="76">
        <f t="shared" si="24"/>
        <v>0</v>
      </c>
      <c r="K69" s="76">
        <f t="shared" si="24"/>
        <v>0</v>
      </c>
      <c r="L69" s="76">
        <f t="shared" si="24"/>
        <v>529909315</v>
      </c>
      <c r="M69" s="76">
        <f t="shared" si="24"/>
        <v>19665714</v>
      </c>
      <c r="N69" s="76">
        <f t="shared" si="24"/>
        <v>510243601</v>
      </c>
      <c r="O69" s="76">
        <f t="shared" si="24"/>
        <v>0</v>
      </c>
      <c r="P69" s="76">
        <f t="shared" si="24"/>
        <v>0</v>
      </c>
      <c r="Q69" s="76">
        <f t="shared" si="24"/>
        <v>0</v>
      </c>
      <c r="R69" s="76">
        <f t="shared" si="24"/>
        <v>0</v>
      </c>
      <c r="S69" s="76">
        <f t="shared" si="24"/>
        <v>0</v>
      </c>
    </row>
    <row r="70" spans="1:19" x14ac:dyDescent="0.25">
      <c r="A70" s="413"/>
      <c r="B70" s="158"/>
      <c r="C70" s="413"/>
      <c r="D70" s="413" t="s">
        <v>464</v>
      </c>
      <c r="E70" s="159">
        <v>1588790000</v>
      </c>
      <c r="F70" s="414"/>
      <c r="G70" s="414">
        <v>1570728362</v>
      </c>
      <c r="H70" s="160">
        <f t="shared" ref="H70:H123" si="25">E70-G70</f>
        <v>18061638</v>
      </c>
      <c r="I70" s="415"/>
      <c r="J70" s="415"/>
      <c r="K70" s="416"/>
      <c r="L70" s="416">
        <f>SUM(M70:S70)</f>
        <v>18061638</v>
      </c>
      <c r="M70" s="416">
        <f>+H70</f>
        <v>18061638</v>
      </c>
      <c r="N70" s="160"/>
      <c r="O70" s="160"/>
      <c r="P70" s="160"/>
      <c r="Q70" s="415"/>
      <c r="R70" s="415"/>
      <c r="S70" s="415"/>
    </row>
    <row r="71" spans="1:19" x14ac:dyDescent="0.25">
      <c r="A71" s="413"/>
      <c r="B71" s="158"/>
      <c r="C71" s="413"/>
      <c r="D71" s="413" t="s">
        <v>522</v>
      </c>
      <c r="E71" s="159">
        <v>8745176500</v>
      </c>
      <c r="F71" s="414"/>
      <c r="G71" s="414">
        <v>8234932899</v>
      </c>
      <c r="H71" s="160">
        <f t="shared" si="25"/>
        <v>510243601</v>
      </c>
      <c r="I71" s="415"/>
      <c r="J71" s="415"/>
      <c r="K71" s="416"/>
      <c r="L71" s="416">
        <f t="shared" ref="L71:L123" si="26">SUM(M71:S71)</f>
        <v>510243601</v>
      </c>
      <c r="M71" s="415"/>
      <c r="N71" s="160">
        <f>+H71</f>
        <v>510243601</v>
      </c>
      <c r="O71" s="160"/>
      <c r="P71" s="160">
        <v>0</v>
      </c>
      <c r="Q71" s="415"/>
      <c r="R71" s="415"/>
      <c r="S71" s="415"/>
    </row>
    <row r="72" spans="1:19" x14ac:dyDescent="0.25">
      <c r="A72" s="413"/>
      <c r="B72" s="158"/>
      <c r="C72" s="413"/>
      <c r="D72" s="413" t="s">
        <v>465</v>
      </c>
      <c r="E72" s="159">
        <v>983000000</v>
      </c>
      <c r="F72" s="414"/>
      <c r="G72" s="414">
        <v>981395924</v>
      </c>
      <c r="H72" s="160">
        <f t="shared" si="25"/>
        <v>1604076</v>
      </c>
      <c r="I72" s="415"/>
      <c r="J72" s="415"/>
      <c r="K72" s="416"/>
      <c r="L72" s="416">
        <f t="shared" si="26"/>
        <v>1604076</v>
      </c>
      <c r="M72" s="416">
        <f>+H72</f>
        <v>1604076</v>
      </c>
      <c r="N72" s="160"/>
      <c r="O72" s="160"/>
      <c r="P72" s="160">
        <v>0</v>
      </c>
      <c r="Q72" s="415"/>
      <c r="R72" s="415"/>
      <c r="S72" s="415"/>
    </row>
    <row r="73" spans="1:19" x14ac:dyDescent="0.25">
      <c r="A73" s="413"/>
      <c r="B73" s="158"/>
      <c r="C73" s="413"/>
      <c r="D73" s="413" t="s">
        <v>523</v>
      </c>
      <c r="E73" s="159">
        <v>294000000</v>
      </c>
      <c r="F73" s="414"/>
      <c r="G73" s="414">
        <v>294000000</v>
      </c>
      <c r="H73" s="160">
        <f t="shared" si="25"/>
        <v>0</v>
      </c>
      <c r="I73" s="415"/>
      <c r="J73" s="415"/>
      <c r="K73" s="416"/>
      <c r="L73" s="416">
        <f t="shared" si="26"/>
        <v>0</v>
      </c>
      <c r="M73" s="415"/>
      <c r="N73" s="160"/>
      <c r="O73" s="160"/>
      <c r="P73" s="160"/>
      <c r="Q73" s="415"/>
      <c r="R73" s="415"/>
      <c r="S73" s="415"/>
    </row>
    <row r="74" spans="1:19" ht="25.5" x14ac:dyDescent="0.25">
      <c r="A74" s="408">
        <v>1.2</v>
      </c>
      <c r="B74" s="157" t="s">
        <v>466</v>
      </c>
      <c r="C74" s="408">
        <v>1127121</v>
      </c>
      <c r="D74" s="408"/>
      <c r="E74" s="76">
        <f>+SUM(E75:E78)</f>
        <v>9198516367</v>
      </c>
      <c r="F74" s="76">
        <f t="shared" ref="F74:S74" si="27">+SUM(F75:F78)</f>
        <v>0</v>
      </c>
      <c r="G74" s="76">
        <f>+SUM(G75:G78)</f>
        <v>9195490370</v>
      </c>
      <c r="H74" s="76">
        <f t="shared" si="27"/>
        <v>3025997</v>
      </c>
      <c r="I74" s="76">
        <f t="shared" si="27"/>
        <v>0</v>
      </c>
      <c r="J74" s="76">
        <f t="shared" si="27"/>
        <v>0</v>
      </c>
      <c r="K74" s="76">
        <f t="shared" si="27"/>
        <v>0</v>
      </c>
      <c r="L74" s="76">
        <f t="shared" si="27"/>
        <v>3025997</v>
      </c>
      <c r="M74" s="76">
        <f t="shared" si="27"/>
        <v>3025997</v>
      </c>
      <c r="N74" s="76">
        <f t="shared" si="27"/>
        <v>0</v>
      </c>
      <c r="O74" s="76">
        <f t="shared" si="27"/>
        <v>0</v>
      </c>
      <c r="P74" s="76">
        <f t="shared" si="27"/>
        <v>0</v>
      </c>
      <c r="Q74" s="76">
        <f t="shared" si="27"/>
        <v>0</v>
      </c>
      <c r="R74" s="76">
        <f t="shared" si="27"/>
        <v>0</v>
      </c>
      <c r="S74" s="76">
        <f t="shared" si="27"/>
        <v>0</v>
      </c>
    </row>
    <row r="75" spans="1:19" x14ac:dyDescent="0.25">
      <c r="A75" s="413"/>
      <c r="B75" s="158"/>
      <c r="C75" s="413"/>
      <c r="D75" s="413" t="s">
        <v>464</v>
      </c>
      <c r="E75" s="159">
        <v>970565178</v>
      </c>
      <c r="F75" s="414"/>
      <c r="G75" s="414">
        <v>968019250</v>
      </c>
      <c r="H75" s="160">
        <f t="shared" si="25"/>
        <v>2545928</v>
      </c>
      <c r="I75" s="415"/>
      <c r="J75" s="415"/>
      <c r="K75" s="416"/>
      <c r="L75" s="416">
        <f>SUM(M75:S75)</f>
        <v>2545928</v>
      </c>
      <c r="M75" s="416">
        <f>+H75</f>
        <v>2545928</v>
      </c>
      <c r="N75" s="417"/>
      <c r="O75" s="160"/>
      <c r="P75" s="160"/>
      <c r="Q75" s="415"/>
      <c r="R75" s="415"/>
      <c r="S75" s="415"/>
    </row>
    <row r="76" spans="1:19" x14ac:dyDescent="0.25">
      <c r="A76" s="413"/>
      <c r="B76" s="158"/>
      <c r="C76" s="413"/>
      <c r="D76" s="413" t="s">
        <v>522</v>
      </c>
      <c r="E76" s="159">
        <v>7048951189</v>
      </c>
      <c r="F76" s="414"/>
      <c r="G76" s="414">
        <v>7048951189</v>
      </c>
      <c r="H76" s="160">
        <f t="shared" si="25"/>
        <v>0</v>
      </c>
      <c r="I76" s="415"/>
      <c r="J76" s="415"/>
      <c r="K76" s="416"/>
      <c r="L76" s="416">
        <f t="shared" si="26"/>
        <v>0</v>
      </c>
      <c r="M76" s="415"/>
      <c r="N76" s="417"/>
      <c r="O76" s="160"/>
      <c r="P76" s="160"/>
      <c r="Q76" s="415"/>
      <c r="R76" s="415"/>
      <c r="S76" s="415"/>
    </row>
    <row r="77" spans="1:19" x14ac:dyDescent="0.25">
      <c r="A77" s="413"/>
      <c r="B77" s="158"/>
      <c r="C77" s="413"/>
      <c r="D77" s="413" t="s">
        <v>465</v>
      </c>
      <c r="E77" s="159">
        <v>919000000</v>
      </c>
      <c r="F77" s="414"/>
      <c r="G77" s="414">
        <v>918519931</v>
      </c>
      <c r="H77" s="160">
        <f t="shared" si="25"/>
        <v>480069</v>
      </c>
      <c r="I77" s="415"/>
      <c r="J77" s="415"/>
      <c r="K77" s="416"/>
      <c r="L77" s="416">
        <f t="shared" si="26"/>
        <v>480069</v>
      </c>
      <c r="M77" s="416">
        <f>+H77</f>
        <v>480069</v>
      </c>
      <c r="N77" s="417"/>
      <c r="O77" s="160"/>
      <c r="P77" s="160">
        <v>0</v>
      </c>
      <c r="Q77" s="415"/>
      <c r="R77" s="415"/>
      <c r="S77" s="415"/>
    </row>
    <row r="78" spans="1:19" x14ac:dyDescent="0.25">
      <c r="A78" s="413"/>
      <c r="B78" s="158"/>
      <c r="C78" s="413"/>
      <c r="D78" s="413" t="s">
        <v>523</v>
      </c>
      <c r="E78" s="159">
        <v>260000000</v>
      </c>
      <c r="F78" s="414"/>
      <c r="G78" s="414">
        <v>260000000</v>
      </c>
      <c r="H78" s="160">
        <f t="shared" si="25"/>
        <v>0</v>
      </c>
      <c r="I78" s="415"/>
      <c r="J78" s="415"/>
      <c r="K78" s="416"/>
      <c r="L78" s="416">
        <f t="shared" si="26"/>
        <v>0</v>
      </c>
      <c r="M78" s="415"/>
      <c r="N78" s="417"/>
      <c r="O78" s="160"/>
      <c r="P78" s="160"/>
      <c r="Q78" s="415"/>
      <c r="R78" s="415"/>
      <c r="S78" s="415"/>
    </row>
    <row r="79" spans="1:19" x14ac:dyDescent="0.25">
      <c r="A79" s="408">
        <v>1.3</v>
      </c>
      <c r="B79" s="157" t="s">
        <v>524</v>
      </c>
      <c r="C79" s="408">
        <v>1127126</v>
      </c>
      <c r="D79" s="408"/>
      <c r="E79" s="76">
        <f>+SUM(E80:E83)</f>
        <v>11034872987</v>
      </c>
      <c r="F79" s="76">
        <f t="shared" ref="F79:S79" si="28">+SUM(F80:F83)</f>
        <v>0</v>
      </c>
      <c r="G79" s="76">
        <f>+SUM(G80:G83)</f>
        <v>10647618940</v>
      </c>
      <c r="H79" s="76">
        <f t="shared" si="28"/>
        <v>387254047</v>
      </c>
      <c r="I79" s="76">
        <f t="shared" si="28"/>
        <v>0</v>
      </c>
      <c r="J79" s="76">
        <f t="shared" si="28"/>
        <v>0</v>
      </c>
      <c r="K79" s="76">
        <f t="shared" si="28"/>
        <v>0</v>
      </c>
      <c r="L79" s="76">
        <f>+SUM(L80:L83)</f>
        <v>387254047</v>
      </c>
      <c r="M79" s="76">
        <f>+SUM(M80:M83)</f>
        <v>0</v>
      </c>
      <c r="N79" s="76">
        <f t="shared" si="28"/>
        <v>387254047</v>
      </c>
      <c r="O79" s="76">
        <f t="shared" si="28"/>
        <v>0</v>
      </c>
      <c r="P79" s="76">
        <f t="shared" si="28"/>
        <v>0</v>
      </c>
      <c r="Q79" s="76">
        <f t="shared" si="28"/>
        <v>0</v>
      </c>
      <c r="R79" s="76">
        <f t="shared" si="28"/>
        <v>0</v>
      </c>
      <c r="S79" s="76">
        <f t="shared" si="28"/>
        <v>0</v>
      </c>
    </row>
    <row r="80" spans="1:19" x14ac:dyDescent="0.25">
      <c r="A80" s="413"/>
      <c r="B80" s="158"/>
      <c r="C80" s="413"/>
      <c r="D80" s="413" t="s">
        <v>525</v>
      </c>
      <c r="E80" s="159">
        <f>1436921115-111109626</f>
        <v>1325811489</v>
      </c>
      <c r="F80" s="414"/>
      <c r="G80" s="414">
        <v>1325811489</v>
      </c>
      <c r="H80" s="160">
        <f t="shared" si="25"/>
        <v>0</v>
      </c>
      <c r="I80" s="415"/>
      <c r="J80" s="415"/>
      <c r="K80" s="416"/>
      <c r="L80" s="416">
        <f>SUM(M80:S80)</f>
        <v>0</v>
      </c>
      <c r="M80" s="426">
        <f>+H80</f>
        <v>0</v>
      </c>
      <c r="N80" s="160"/>
      <c r="O80" s="160"/>
      <c r="P80" s="160"/>
      <c r="Q80" s="415"/>
      <c r="R80" s="415"/>
      <c r="S80" s="415"/>
    </row>
    <row r="81" spans="1:19" x14ac:dyDescent="0.25">
      <c r="A81" s="413"/>
      <c r="B81" s="158"/>
      <c r="C81" s="413"/>
      <c r="D81" s="413" t="s">
        <v>526</v>
      </c>
      <c r="E81" s="159">
        <v>8710000000</v>
      </c>
      <c r="F81" s="414"/>
      <c r="G81" s="414">
        <v>8322745953</v>
      </c>
      <c r="H81" s="160">
        <f t="shared" si="25"/>
        <v>387254047</v>
      </c>
      <c r="I81" s="415"/>
      <c r="J81" s="415"/>
      <c r="K81" s="416"/>
      <c r="L81" s="416">
        <f>SUM(M81:S81)</f>
        <v>387254047</v>
      </c>
      <c r="M81" s="417"/>
      <c r="N81" s="160">
        <f>+H81</f>
        <v>387254047</v>
      </c>
      <c r="O81" s="160"/>
      <c r="P81" s="160"/>
      <c r="Q81" s="415"/>
      <c r="R81" s="415"/>
      <c r="S81" s="415"/>
    </row>
    <row r="82" spans="1:19" x14ac:dyDescent="0.25">
      <c r="A82" s="413"/>
      <c r="B82" s="158"/>
      <c r="C82" s="413"/>
      <c r="D82" s="413" t="s">
        <v>527</v>
      </c>
      <c r="E82" s="159">
        <f>700530000-19468502</f>
        <v>681061498</v>
      </c>
      <c r="F82" s="414"/>
      <c r="G82" s="414">
        <v>681061498</v>
      </c>
      <c r="H82" s="160">
        <f t="shared" si="25"/>
        <v>0</v>
      </c>
      <c r="I82" s="415"/>
      <c r="J82" s="415"/>
      <c r="K82" s="416"/>
      <c r="L82" s="416">
        <f>SUM(M82:S82)</f>
        <v>0</v>
      </c>
      <c r="M82" s="426">
        <f>+H82</f>
        <v>0</v>
      </c>
      <c r="N82" s="160"/>
      <c r="O82" s="160"/>
      <c r="P82" s="160">
        <v>0</v>
      </c>
      <c r="Q82" s="415"/>
      <c r="R82" s="415"/>
      <c r="S82" s="415"/>
    </row>
    <row r="83" spans="1:19" x14ac:dyDescent="0.25">
      <c r="A83" s="413"/>
      <c r="B83" s="158"/>
      <c r="C83" s="413"/>
      <c r="D83" s="413" t="s">
        <v>528</v>
      </c>
      <c r="E83" s="159">
        <v>318000000</v>
      </c>
      <c r="F83" s="414"/>
      <c r="G83" s="414">
        <v>318000000</v>
      </c>
      <c r="H83" s="160">
        <f t="shared" si="25"/>
        <v>0</v>
      </c>
      <c r="I83" s="415"/>
      <c r="J83" s="415"/>
      <c r="K83" s="416"/>
      <c r="L83" s="416">
        <f>SUM(M83:S83)</f>
        <v>0</v>
      </c>
      <c r="M83" s="417"/>
      <c r="N83" s="160"/>
      <c r="O83" s="160"/>
      <c r="P83" s="160"/>
      <c r="Q83" s="415"/>
      <c r="R83" s="415"/>
      <c r="S83" s="415"/>
    </row>
    <row r="84" spans="1:19" x14ac:dyDescent="0.25">
      <c r="A84" s="408">
        <v>1.4</v>
      </c>
      <c r="B84" s="427" t="s">
        <v>529</v>
      </c>
      <c r="C84" s="408">
        <v>1132241</v>
      </c>
      <c r="D84" s="408"/>
      <c r="E84" s="76">
        <f>+SUM(E85:E88)</f>
        <v>7887199376</v>
      </c>
      <c r="F84" s="76">
        <f t="shared" ref="F84:S84" si="29">+SUM(F85:F88)</f>
        <v>0</v>
      </c>
      <c r="G84" s="76">
        <f>+SUM(G85:G88)</f>
        <v>7639593670</v>
      </c>
      <c r="H84" s="76">
        <f t="shared" si="29"/>
        <v>247605706</v>
      </c>
      <c r="I84" s="76">
        <f t="shared" si="29"/>
        <v>0</v>
      </c>
      <c r="J84" s="76">
        <f t="shared" si="29"/>
        <v>0</v>
      </c>
      <c r="K84" s="76">
        <f t="shared" si="29"/>
        <v>0</v>
      </c>
      <c r="L84" s="76">
        <f t="shared" si="29"/>
        <v>247605706</v>
      </c>
      <c r="M84" s="76">
        <f t="shared" si="29"/>
        <v>31538280</v>
      </c>
      <c r="N84" s="76">
        <f t="shared" si="29"/>
        <v>216067426</v>
      </c>
      <c r="O84" s="76">
        <f t="shared" si="29"/>
        <v>0</v>
      </c>
      <c r="P84" s="76">
        <f t="shared" si="29"/>
        <v>0</v>
      </c>
      <c r="Q84" s="76">
        <f t="shared" si="29"/>
        <v>0</v>
      </c>
      <c r="R84" s="76">
        <f t="shared" si="29"/>
        <v>0</v>
      </c>
      <c r="S84" s="76">
        <f t="shared" si="29"/>
        <v>0</v>
      </c>
    </row>
    <row r="85" spans="1:19" x14ac:dyDescent="0.25">
      <c r="A85" s="413"/>
      <c r="B85" s="428"/>
      <c r="C85" s="413"/>
      <c r="D85" s="413" t="s">
        <v>525</v>
      </c>
      <c r="E85" s="159">
        <f>1203062000-57356696</f>
        <v>1145705304</v>
      </c>
      <c r="F85" s="414"/>
      <c r="G85" s="414">
        <v>1145705304</v>
      </c>
      <c r="H85" s="160">
        <f t="shared" si="25"/>
        <v>0</v>
      </c>
      <c r="I85" s="415"/>
      <c r="J85" s="415"/>
      <c r="K85" s="416"/>
      <c r="L85" s="416">
        <f>SUM(M85:S85)</f>
        <v>0</v>
      </c>
      <c r="M85" s="416">
        <f>+H85</f>
        <v>0</v>
      </c>
      <c r="N85" s="160"/>
      <c r="O85" s="160"/>
      <c r="P85" s="160"/>
      <c r="Q85" s="415"/>
      <c r="R85" s="415"/>
      <c r="S85" s="415"/>
    </row>
    <row r="86" spans="1:19" x14ac:dyDescent="0.25">
      <c r="A86" s="413"/>
      <c r="B86" s="428"/>
      <c r="C86" s="413"/>
      <c r="D86" s="413" t="s">
        <v>526</v>
      </c>
      <c r="E86" s="159">
        <v>5949157151</v>
      </c>
      <c r="F86" s="414"/>
      <c r="G86" s="414">
        <v>5733089725</v>
      </c>
      <c r="H86" s="160">
        <f t="shared" si="25"/>
        <v>216067426</v>
      </c>
      <c r="I86" s="415"/>
      <c r="J86" s="415"/>
      <c r="K86" s="416"/>
      <c r="L86" s="416">
        <f t="shared" si="26"/>
        <v>216067426</v>
      </c>
      <c r="M86" s="415"/>
      <c r="N86" s="160">
        <f>+H86</f>
        <v>216067426</v>
      </c>
      <c r="O86" s="160"/>
      <c r="P86" s="160"/>
      <c r="Q86" s="415"/>
      <c r="R86" s="415"/>
      <c r="S86" s="415"/>
    </row>
    <row r="87" spans="1:19" x14ac:dyDescent="0.25">
      <c r="A87" s="413"/>
      <c r="B87" s="428"/>
      <c r="C87" s="413"/>
      <c r="D87" s="413" t="s">
        <v>527</v>
      </c>
      <c r="E87" s="159">
        <f>758002000-193665079</f>
        <v>564336921</v>
      </c>
      <c r="F87" s="414"/>
      <c r="G87" s="414">
        <v>564336921</v>
      </c>
      <c r="H87" s="160">
        <f t="shared" si="25"/>
        <v>0</v>
      </c>
      <c r="I87" s="415"/>
      <c r="J87" s="415"/>
      <c r="K87" s="416"/>
      <c r="L87" s="416">
        <f t="shared" si="26"/>
        <v>0</v>
      </c>
      <c r="M87" s="416">
        <f>+H87</f>
        <v>0</v>
      </c>
      <c r="N87" s="160"/>
      <c r="O87" s="160"/>
      <c r="P87" s="160">
        <v>0</v>
      </c>
      <c r="Q87" s="415"/>
      <c r="R87" s="415"/>
      <c r="S87" s="415"/>
    </row>
    <row r="88" spans="1:19" x14ac:dyDescent="0.25">
      <c r="A88" s="413"/>
      <c r="B88" s="428"/>
      <c r="C88" s="413"/>
      <c r="D88" s="413" t="s">
        <v>528</v>
      </c>
      <c r="E88" s="159">
        <v>228000000</v>
      </c>
      <c r="F88" s="414"/>
      <c r="G88" s="414">
        <v>196461720</v>
      </c>
      <c r="H88" s="160">
        <f t="shared" si="25"/>
        <v>31538280</v>
      </c>
      <c r="I88" s="415"/>
      <c r="J88" s="415"/>
      <c r="K88" s="416"/>
      <c r="L88" s="416">
        <f t="shared" si="26"/>
        <v>31538280</v>
      </c>
      <c r="M88" s="416">
        <f>+H88</f>
        <v>31538280</v>
      </c>
      <c r="N88" s="160"/>
      <c r="O88" s="160"/>
      <c r="P88" s="160"/>
      <c r="Q88" s="415"/>
      <c r="R88" s="415"/>
      <c r="S88" s="415"/>
    </row>
    <row r="89" spans="1:19" ht="25.5" x14ac:dyDescent="0.25">
      <c r="A89" s="408">
        <v>1.5</v>
      </c>
      <c r="B89" s="427" t="s">
        <v>530</v>
      </c>
      <c r="C89" s="408">
        <v>1132233</v>
      </c>
      <c r="D89" s="408"/>
      <c r="E89" s="76">
        <f>+SUM(E90:E93)</f>
        <v>20269329219</v>
      </c>
      <c r="F89" s="76">
        <f t="shared" ref="F89:S89" si="30">+SUM(F90:F93)</f>
        <v>0</v>
      </c>
      <c r="G89" s="76">
        <f>+SUM(G90:G93)</f>
        <v>20093595886</v>
      </c>
      <c r="H89" s="76">
        <f t="shared" si="30"/>
        <v>175733333</v>
      </c>
      <c r="I89" s="76">
        <f t="shared" si="30"/>
        <v>0</v>
      </c>
      <c r="J89" s="76">
        <f t="shared" si="30"/>
        <v>0</v>
      </c>
      <c r="K89" s="76">
        <f t="shared" si="30"/>
        <v>0</v>
      </c>
      <c r="L89" s="76">
        <f t="shared" si="30"/>
        <v>175733333</v>
      </c>
      <c r="M89" s="76">
        <f t="shared" si="30"/>
        <v>18981213</v>
      </c>
      <c r="N89" s="76">
        <f t="shared" si="30"/>
        <v>156752120</v>
      </c>
      <c r="O89" s="76">
        <f t="shared" si="30"/>
        <v>0</v>
      </c>
      <c r="P89" s="76">
        <f t="shared" si="30"/>
        <v>0</v>
      </c>
      <c r="Q89" s="76">
        <f t="shared" si="30"/>
        <v>0</v>
      </c>
      <c r="R89" s="76">
        <f t="shared" si="30"/>
        <v>0</v>
      </c>
      <c r="S89" s="76">
        <f t="shared" si="30"/>
        <v>0</v>
      </c>
    </row>
    <row r="90" spans="1:19" x14ac:dyDescent="0.25">
      <c r="A90" s="413"/>
      <c r="B90" s="428"/>
      <c r="C90" s="413"/>
      <c r="D90" s="413" t="s">
        <v>531</v>
      </c>
      <c r="E90" s="159">
        <f>3755296600-168371399</f>
        <v>3586925201</v>
      </c>
      <c r="F90" s="414"/>
      <c r="G90" s="414">
        <v>3586925201</v>
      </c>
      <c r="H90" s="160">
        <f t="shared" si="25"/>
        <v>0</v>
      </c>
      <c r="I90" s="415"/>
      <c r="J90" s="415"/>
      <c r="K90" s="416"/>
      <c r="L90" s="416">
        <f t="shared" si="26"/>
        <v>0</v>
      </c>
      <c r="M90" s="416">
        <f>+H90</f>
        <v>0</v>
      </c>
      <c r="N90" s="160"/>
      <c r="O90" s="160"/>
      <c r="P90" s="160"/>
      <c r="Q90" s="415"/>
      <c r="R90" s="415"/>
      <c r="S90" s="415"/>
    </row>
    <row r="91" spans="1:19" x14ac:dyDescent="0.25">
      <c r="A91" s="413"/>
      <c r="B91" s="428"/>
      <c r="C91" s="413"/>
      <c r="D91" s="413" t="s">
        <v>532</v>
      </c>
      <c r="E91" s="159">
        <v>13766000000</v>
      </c>
      <c r="F91" s="414"/>
      <c r="G91" s="414">
        <v>13609247880</v>
      </c>
      <c r="H91" s="160">
        <f t="shared" si="25"/>
        <v>156752120</v>
      </c>
      <c r="I91" s="415"/>
      <c r="J91" s="415"/>
      <c r="K91" s="416"/>
      <c r="L91" s="416">
        <f t="shared" si="26"/>
        <v>156752120</v>
      </c>
      <c r="M91" s="415"/>
      <c r="N91" s="160">
        <f>+H91</f>
        <v>156752120</v>
      </c>
      <c r="O91" s="160"/>
      <c r="P91" s="160"/>
      <c r="Q91" s="415"/>
      <c r="R91" s="415"/>
      <c r="S91" s="415"/>
    </row>
    <row r="92" spans="1:19" x14ac:dyDescent="0.25">
      <c r="A92" s="413"/>
      <c r="B92" s="428"/>
      <c r="C92" s="413"/>
      <c r="D92" s="413" t="s">
        <v>468</v>
      </c>
      <c r="E92" s="159">
        <f>2722000000-313595982</f>
        <v>2408404018</v>
      </c>
      <c r="F92" s="414"/>
      <c r="G92" s="414">
        <v>2408404018</v>
      </c>
      <c r="H92" s="160">
        <f t="shared" si="25"/>
        <v>0</v>
      </c>
      <c r="I92" s="415"/>
      <c r="J92" s="415"/>
      <c r="K92" s="416"/>
      <c r="L92" s="416">
        <f t="shared" si="26"/>
        <v>0</v>
      </c>
      <c r="M92" s="416">
        <f>+H92</f>
        <v>0</v>
      </c>
      <c r="N92" s="160">
        <v>0</v>
      </c>
      <c r="O92" s="160"/>
      <c r="P92" s="160">
        <v>0</v>
      </c>
      <c r="Q92" s="415"/>
      <c r="R92" s="415"/>
      <c r="S92" s="415"/>
    </row>
    <row r="93" spans="1:19" x14ac:dyDescent="0.25">
      <c r="A93" s="413"/>
      <c r="B93" s="428"/>
      <c r="C93" s="413"/>
      <c r="D93" s="413" t="s">
        <v>533</v>
      </c>
      <c r="E93" s="159">
        <v>508000000</v>
      </c>
      <c r="F93" s="414"/>
      <c r="G93" s="414">
        <v>489018787</v>
      </c>
      <c r="H93" s="160">
        <f t="shared" si="25"/>
        <v>18981213</v>
      </c>
      <c r="I93" s="415"/>
      <c r="J93" s="415"/>
      <c r="K93" s="416"/>
      <c r="L93" s="416">
        <f t="shared" si="26"/>
        <v>18981213</v>
      </c>
      <c r="M93" s="416">
        <f>+H93</f>
        <v>18981213</v>
      </c>
      <c r="N93" s="160"/>
      <c r="O93" s="160"/>
      <c r="P93" s="160"/>
      <c r="Q93" s="415"/>
      <c r="R93" s="415"/>
      <c r="S93" s="415"/>
    </row>
    <row r="94" spans="1:19" ht="25.5" x14ac:dyDescent="0.25">
      <c r="A94" s="408">
        <v>1.6</v>
      </c>
      <c r="B94" s="427" t="s">
        <v>469</v>
      </c>
      <c r="C94" s="408">
        <v>1121330</v>
      </c>
      <c r="D94" s="408"/>
      <c r="E94" s="76">
        <f>+SUM(E95:E98)</f>
        <v>12025533930</v>
      </c>
      <c r="F94" s="76">
        <f t="shared" ref="F94:S94" si="31">+SUM(F95:F98)</f>
        <v>0</v>
      </c>
      <c r="G94" s="76">
        <f>+SUM(G95:G98)</f>
        <v>10310868512</v>
      </c>
      <c r="H94" s="76">
        <f t="shared" si="31"/>
        <v>1714665418</v>
      </c>
      <c r="I94" s="76">
        <f t="shared" si="31"/>
        <v>0</v>
      </c>
      <c r="J94" s="76">
        <f t="shared" si="31"/>
        <v>0</v>
      </c>
      <c r="K94" s="76">
        <f t="shared" si="31"/>
        <v>0</v>
      </c>
      <c r="L94" s="76">
        <f t="shared" si="31"/>
        <v>1714665418</v>
      </c>
      <c r="M94" s="76">
        <f t="shared" si="31"/>
        <v>4122979</v>
      </c>
      <c r="N94" s="76">
        <f t="shared" si="31"/>
        <v>1710542439</v>
      </c>
      <c r="O94" s="76">
        <f t="shared" si="31"/>
        <v>0</v>
      </c>
      <c r="P94" s="76">
        <f t="shared" si="31"/>
        <v>0</v>
      </c>
      <c r="Q94" s="76">
        <f t="shared" si="31"/>
        <v>0</v>
      </c>
      <c r="R94" s="76">
        <f t="shared" si="31"/>
        <v>0</v>
      </c>
      <c r="S94" s="76">
        <f t="shared" si="31"/>
        <v>0</v>
      </c>
    </row>
    <row r="95" spans="1:19" x14ac:dyDescent="0.25">
      <c r="A95" s="413"/>
      <c r="B95" s="428"/>
      <c r="C95" s="413"/>
      <c r="D95" s="413" t="s">
        <v>531</v>
      </c>
      <c r="E95" s="159">
        <f>3622101710-743315955</f>
        <v>2878785755</v>
      </c>
      <c r="F95" s="414"/>
      <c r="G95" s="414">
        <v>2878785755</v>
      </c>
      <c r="H95" s="160">
        <f t="shared" si="25"/>
        <v>0</v>
      </c>
      <c r="I95" s="415"/>
      <c r="J95" s="415"/>
      <c r="K95" s="416"/>
      <c r="L95" s="416">
        <f t="shared" si="26"/>
        <v>0</v>
      </c>
      <c r="M95" s="416">
        <f>+H95</f>
        <v>0</v>
      </c>
      <c r="N95" s="160"/>
      <c r="O95" s="160"/>
      <c r="P95" s="160"/>
      <c r="Q95" s="415"/>
      <c r="R95" s="415"/>
      <c r="S95" s="415"/>
    </row>
    <row r="96" spans="1:19" x14ac:dyDescent="0.25">
      <c r="A96" s="413"/>
      <c r="B96" s="428"/>
      <c r="C96" s="413"/>
      <c r="D96" s="413" t="s">
        <v>532</v>
      </c>
      <c r="E96" s="159">
        <v>8042000000</v>
      </c>
      <c r="F96" s="414"/>
      <c r="G96" s="414">
        <v>6331457561</v>
      </c>
      <c r="H96" s="160">
        <f t="shared" si="25"/>
        <v>1710542439</v>
      </c>
      <c r="I96" s="415"/>
      <c r="J96" s="415"/>
      <c r="K96" s="416"/>
      <c r="L96" s="416">
        <f t="shared" si="26"/>
        <v>1710542439</v>
      </c>
      <c r="M96" s="415"/>
      <c r="N96" s="160">
        <f>+H96</f>
        <v>1710542439</v>
      </c>
      <c r="O96" s="160"/>
      <c r="P96" s="160"/>
      <c r="Q96" s="415"/>
      <c r="R96" s="415"/>
      <c r="S96" s="415"/>
    </row>
    <row r="97" spans="1:19" x14ac:dyDescent="0.25">
      <c r="A97" s="413"/>
      <c r="B97" s="428"/>
      <c r="C97" s="413"/>
      <c r="D97" s="413" t="s">
        <v>468</v>
      </c>
      <c r="E97" s="159">
        <f>1466000000-594251825</f>
        <v>871748175</v>
      </c>
      <c r="F97" s="414"/>
      <c r="G97" s="414">
        <v>871748175</v>
      </c>
      <c r="H97" s="160">
        <f t="shared" si="25"/>
        <v>0</v>
      </c>
      <c r="I97" s="415"/>
      <c r="J97" s="415"/>
      <c r="K97" s="416"/>
      <c r="L97" s="416">
        <f t="shared" si="26"/>
        <v>0</v>
      </c>
      <c r="M97" s="416">
        <f>+H97</f>
        <v>0</v>
      </c>
      <c r="N97" s="160"/>
      <c r="O97" s="160"/>
      <c r="P97" s="160">
        <v>0</v>
      </c>
      <c r="Q97" s="415"/>
      <c r="R97" s="415"/>
      <c r="S97" s="415"/>
    </row>
    <row r="98" spans="1:19" x14ac:dyDescent="0.25">
      <c r="A98" s="413"/>
      <c r="B98" s="428"/>
      <c r="C98" s="413"/>
      <c r="D98" s="413" t="s">
        <v>533</v>
      </c>
      <c r="E98" s="159">
        <v>233000000</v>
      </c>
      <c r="F98" s="414"/>
      <c r="G98" s="414">
        <v>228877021</v>
      </c>
      <c r="H98" s="160">
        <f t="shared" si="25"/>
        <v>4122979</v>
      </c>
      <c r="I98" s="415"/>
      <c r="J98" s="415"/>
      <c r="K98" s="416"/>
      <c r="L98" s="416">
        <f t="shared" si="26"/>
        <v>4122979</v>
      </c>
      <c r="M98" s="416">
        <f>+H98</f>
        <v>4122979</v>
      </c>
      <c r="N98" s="160"/>
      <c r="O98" s="160"/>
      <c r="P98" s="160"/>
      <c r="Q98" s="415"/>
      <c r="R98" s="415"/>
      <c r="S98" s="415"/>
    </row>
    <row r="99" spans="1:19" ht="25.5" x14ac:dyDescent="0.25">
      <c r="A99" s="408">
        <v>1.7</v>
      </c>
      <c r="B99" s="427" t="s">
        <v>534</v>
      </c>
      <c r="C99" s="408">
        <v>1127877</v>
      </c>
      <c r="D99" s="408"/>
      <c r="E99" s="76">
        <f>+SUM(E100:E103)</f>
        <v>9296254836</v>
      </c>
      <c r="F99" s="76">
        <f t="shared" ref="F99:S99" si="32">+SUM(F100:F103)</f>
        <v>0</v>
      </c>
      <c r="G99" s="76">
        <f>+SUM(G100:G103)</f>
        <v>8888632376</v>
      </c>
      <c r="H99" s="76">
        <f t="shared" si="32"/>
        <v>407622460</v>
      </c>
      <c r="I99" s="76">
        <f t="shared" si="32"/>
        <v>0</v>
      </c>
      <c r="J99" s="76">
        <f t="shared" si="32"/>
        <v>0</v>
      </c>
      <c r="K99" s="76">
        <f t="shared" si="32"/>
        <v>0</v>
      </c>
      <c r="L99" s="76">
        <f t="shared" si="32"/>
        <v>407622460</v>
      </c>
      <c r="M99" s="76">
        <f t="shared" si="32"/>
        <v>0</v>
      </c>
      <c r="N99" s="76">
        <f t="shared" si="32"/>
        <v>407622460</v>
      </c>
      <c r="O99" s="76">
        <f t="shared" si="32"/>
        <v>0</v>
      </c>
      <c r="P99" s="76">
        <f t="shared" si="32"/>
        <v>0</v>
      </c>
      <c r="Q99" s="76">
        <f t="shared" si="32"/>
        <v>0</v>
      </c>
      <c r="R99" s="76">
        <f t="shared" si="32"/>
        <v>0</v>
      </c>
      <c r="S99" s="76">
        <f t="shared" si="32"/>
        <v>0</v>
      </c>
    </row>
    <row r="100" spans="1:19" x14ac:dyDescent="0.25">
      <c r="A100" s="413"/>
      <c r="B100" s="428"/>
      <c r="C100" s="413"/>
      <c r="D100" s="413" t="s">
        <v>525</v>
      </c>
      <c r="E100" s="159">
        <f>1888065684-169490848</f>
        <v>1718574836</v>
      </c>
      <c r="F100" s="414"/>
      <c r="G100" s="414">
        <v>1718574836</v>
      </c>
      <c r="H100" s="160">
        <f t="shared" si="25"/>
        <v>0</v>
      </c>
      <c r="I100" s="415"/>
      <c r="J100" s="415"/>
      <c r="K100" s="416"/>
      <c r="L100" s="416">
        <f t="shared" si="26"/>
        <v>0</v>
      </c>
      <c r="M100" s="416">
        <f>+H100</f>
        <v>0</v>
      </c>
      <c r="N100" s="160"/>
      <c r="O100" s="160"/>
      <c r="P100" s="160"/>
      <c r="Q100" s="415"/>
      <c r="R100" s="415"/>
      <c r="S100" s="415"/>
    </row>
    <row r="101" spans="1:19" x14ac:dyDescent="0.25">
      <c r="A101" s="413"/>
      <c r="B101" s="428"/>
      <c r="C101" s="413"/>
      <c r="D101" s="413" t="s">
        <v>526</v>
      </c>
      <c r="E101" s="159">
        <v>6914000000</v>
      </c>
      <c r="F101" s="414"/>
      <c r="G101" s="414">
        <v>6506377540</v>
      </c>
      <c r="H101" s="160">
        <f t="shared" si="25"/>
        <v>407622460</v>
      </c>
      <c r="I101" s="415"/>
      <c r="J101" s="415"/>
      <c r="K101" s="416"/>
      <c r="L101" s="416">
        <f t="shared" si="26"/>
        <v>407622460</v>
      </c>
      <c r="M101" s="415"/>
      <c r="N101" s="160">
        <f>+H101</f>
        <v>407622460</v>
      </c>
      <c r="O101" s="160"/>
      <c r="P101" s="160"/>
      <c r="Q101" s="415"/>
      <c r="R101" s="415"/>
      <c r="S101" s="415"/>
    </row>
    <row r="102" spans="1:19" x14ac:dyDescent="0.25">
      <c r="A102" s="413"/>
      <c r="B102" s="428"/>
      <c r="C102" s="413"/>
      <c r="D102" s="413" t="s">
        <v>527</v>
      </c>
      <c r="E102" s="159">
        <f>668000000-231320000</f>
        <v>436680000</v>
      </c>
      <c r="F102" s="414"/>
      <c r="G102" s="414">
        <v>436680000</v>
      </c>
      <c r="H102" s="160">
        <f t="shared" si="25"/>
        <v>0</v>
      </c>
      <c r="I102" s="415"/>
      <c r="J102" s="415"/>
      <c r="K102" s="416"/>
      <c r="L102" s="416">
        <f t="shared" si="26"/>
        <v>0</v>
      </c>
      <c r="M102" s="416">
        <f>+H102</f>
        <v>0</v>
      </c>
      <c r="N102" s="160"/>
      <c r="O102" s="160"/>
      <c r="P102" s="160">
        <v>0</v>
      </c>
      <c r="Q102" s="415"/>
      <c r="R102" s="415"/>
      <c r="S102" s="415"/>
    </row>
    <row r="103" spans="1:19" x14ac:dyDescent="0.25">
      <c r="A103" s="413"/>
      <c r="B103" s="428"/>
      <c r="C103" s="413"/>
      <c r="D103" s="413" t="s">
        <v>528</v>
      </c>
      <c r="E103" s="159">
        <v>227000000</v>
      </c>
      <c r="F103" s="414"/>
      <c r="G103" s="414">
        <v>227000000</v>
      </c>
      <c r="H103" s="160">
        <f t="shared" si="25"/>
        <v>0</v>
      </c>
      <c r="I103" s="415"/>
      <c r="J103" s="415"/>
      <c r="K103" s="416"/>
      <c r="L103" s="416">
        <f t="shared" si="26"/>
        <v>0</v>
      </c>
      <c r="M103" s="415"/>
      <c r="N103" s="160"/>
      <c r="O103" s="160"/>
      <c r="P103" s="160"/>
      <c r="Q103" s="415"/>
      <c r="R103" s="415"/>
      <c r="S103" s="415"/>
    </row>
    <row r="104" spans="1:19" ht="25.5" x14ac:dyDescent="0.25">
      <c r="A104" s="408">
        <v>1.8</v>
      </c>
      <c r="B104" s="427" t="s">
        <v>470</v>
      </c>
      <c r="C104" s="408">
        <v>1096847</v>
      </c>
      <c r="D104" s="408"/>
      <c r="E104" s="76">
        <f>+SUM(E105:E108)</f>
        <v>9188530057</v>
      </c>
      <c r="F104" s="76">
        <f t="shared" ref="F104:S104" si="33">+SUM(F105:F108)</f>
        <v>0</v>
      </c>
      <c r="G104" s="76">
        <f>+SUM(G105:G108)</f>
        <v>8423022649</v>
      </c>
      <c r="H104" s="76">
        <f t="shared" si="33"/>
        <v>765507408</v>
      </c>
      <c r="I104" s="76">
        <f t="shared" si="33"/>
        <v>0</v>
      </c>
      <c r="J104" s="76">
        <f t="shared" si="33"/>
        <v>0</v>
      </c>
      <c r="K104" s="76">
        <f t="shared" si="33"/>
        <v>0</v>
      </c>
      <c r="L104" s="76">
        <f t="shared" si="33"/>
        <v>765507408</v>
      </c>
      <c r="M104" s="76">
        <f t="shared" si="33"/>
        <v>0</v>
      </c>
      <c r="N104" s="76">
        <f t="shared" si="33"/>
        <v>765507408</v>
      </c>
      <c r="O104" s="76">
        <f t="shared" si="33"/>
        <v>0</v>
      </c>
      <c r="P104" s="76">
        <f t="shared" si="33"/>
        <v>0</v>
      </c>
      <c r="Q104" s="76">
        <f t="shared" si="33"/>
        <v>0</v>
      </c>
      <c r="R104" s="76">
        <f t="shared" si="33"/>
        <v>0</v>
      </c>
      <c r="S104" s="76">
        <f t="shared" si="33"/>
        <v>0</v>
      </c>
    </row>
    <row r="105" spans="1:19" x14ac:dyDescent="0.25">
      <c r="A105" s="413"/>
      <c r="B105" s="428"/>
      <c r="C105" s="413"/>
      <c r="D105" s="413" t="s">
        <v>531</v>
      </c>
      <c r="E105" s="159">
        <f>2454920398-285344573</f>
        <v>2169575825</v>
      </c>
      <c r="F105" s="414"/>
      <c r="G105" s="414">
        <v>2169575825</v>
      </c>
      <c r="H105" s="160">
        <f t="shared" si="25"/>
        <v>0</v>
      </c>
      <c r="I105" s="415"/>
      <c r="J105" s="415"/>
      <c r="K105" s="416"/>
      <c r="L105" s="416">
        <f t="shared" si="26"/>
        <v>0</v>
      </c>
      <c r="M105" s="416">
        <f>+H105</f>
        <v>0</v>
      </c>
      <c r="N105" s="160"/>
      <c r="O105" s="160"/>
      <c r="P105" s="160"/>
      <c r="Q105" s="415"/>
      <c r="R105" s="415"/>
      <c r="S105" s="415"/>
    </row>
    <row r="106" spans="1:19" x14ac:dyDescent="0.25">
      <c r="A106" s="413"/>
      <c r="B106" s="428"/>
      <c r="C106" s="413"/>
      <c r="D106" s="413" t="s">
        <v>532</v>
      </c>
      <c r="E106" s="159">
        <v>6432200000</v>
      </c>
      <c r="F106" s="414"/>
      <c r="G106" s="414">
        <v>5666692592</v>
      </c>
      <c r="H106" s="160">
        <f t="shared" si="25"/>
        <v>765507408</v>
      </c>
      <c r="I106" s="415"/>
      <c r="J106" s="415"/>
      <c r="K106" s="416"/>
      <c r="L106" s="416">
        <f t="shared" si="26"/>
        <v>765507408</v>
      </c>
      <c r="M106" s="415"/>
      <c r="N106" s="160">
        <f>+H106</f>
        <v>765507408</v>
      </c>
      <c r="O106" s="160"/>
      <c r="P106" s="160"/>
      <c r="Q106" s="415"/>
      <c r="R106" s="415"/>
      <c r="S106" s="415"/>
    </row>
    <row r="107" spans="1:19" x14ac:dyDescent="0.25">
      <c r="A107" s="413"/>
      <c r="B107" s="428"/>
      <c r="C107" s="413"/>
      <c r="D107" s="413" t="s">
        <v>468</v>
      </c>
      <c r="E107" s="159">
        <f>830000000-461245768</f>
        <v>368754232</v>
      </c>
      <c r="F107" s="414"/>
      <c r="G107" s="414">
        <v>368754232</v>
      </c>
      <c r="H107" s="160">
        <f t="shared" si="25"/>
        <v>0</v>
      </c>
      <c r="I107" s="415"/>
      <c r="J107" s="415"/>
      <c r="K107" s="416"/>
      <c r="L107" s="416">
        <f t="shared" si="26"/>
        <v>0</v>
      </c>
      <c r="M107" s="416">
        <f>+H107</f>
        <v>0</v>
      </c>
      <c r="N107" s="160"/>
      <c r="O107" s="160"/>
      <c r="P107" s="160">
        <v>0</v>
      </c>
      <c r="Q107" s="415"/>
      <c r="R107" s="415"/>
      <c r="S107" s="415"/>
    </row>
    <row r="108" spans="1:19" x14ac:dyDescent="0.25">
      <c r="A108" s="413"/>
      <c r="B108" s="428"/>
      <c r="C108" s="413"/>
      <c r="D108" s="413" t="s">
        <v>533</v>
      </c>
      <c r="E108" s="159">
        <v>218000000</v>
      </c>
      <c r="F108" s="414"/>
      <c r="G108" s="414">
        <v>218000000</v>
      </c>
      <c r="H108" s="160">
        <f t="shared" si="25"/>
        <v>0</v>
      </c>
      <c r="I108" s="415"/>
      <c r="J108" s="415"/>
      <c r="K108" s="416"/>
      <c r="L108" s="416">
        <f t="shared" si="26"/>
        <v>0</v>
      </c>
      <c r="M108" s="415"/>
      <c r="N108" s="160"/>
      <c r="O108" s="160"/>
      <c r="P108" s="160"/>
      <c r="Q108" s="415"/>
      <c r="R108" s="415"/>
      <c r="S108" s="415"/>
    </row>
    <row r="109" spans="1:19" ht="25.5" x14ac:dyDescent="0.25">
      <c r="A109" s="408">
        <v>1.9</v>
      </c>
      <c r="B109" s="427" t="s">
        <v>535</v>
      </c>
      <c r="C109" s="408">
        <v>1121329</v>
      </c>
      <c r="D109" s="408"/>
      <c r="E109" s="76">
        <f>+SUM(E110:E113)</f>
        <v>8063935738</v>
      </c>
      <c r="F109" s="76">
        <f t="shared" ref="F109:S109" si="34">+SUM(F110:F113)</f>
        <v>0</v>
      </c>
      <c r="G109" s="76">
        <f>+SUM(G110:G113)</f>
        <v>7355543656</v>
      </c>
      <c r="H109" s="76">
        <f t="shared" si="34"/>
        <v>708392082</v>
      </c>
      <c r="I109" s="76">
        <f t="shared" si="34"/>
        <v>0</v>
      </c>
      <c r="J109" s="76">
        <f t="shared" si="34"/>
        <v>0</v>
      </c>
      <c r="K109" s="76">
        <f t="shared" si="34"/>
        <v>0</v>
      </c>
      <c r="L109" s="76">
        <f t="shared" si="34"/>
        <v>708392082</v>
      </c>
      <c r="M109" s="76">
        <f t="shared" si="34"/>
        <v>0</v>
      </c>
      <c r="N109" s="76">
        <f t="shared" si="34"/>
        <v>708392082</v>
      </c>
      <c r="O109" s="76">
        <f t="shared" si="34"/>
        <v>0</v>
      </c>
      <c r="P109" s="76">
        <f t="shared" si="34"/>
        <v>0</v>
      </c>
      <c r="Q109" s="76">
        <f t="shared" si="34"/>
        <v>0</v>
      </c>
      <c r="R109" s="76">
        <f t="shared" si="34"/>
        <v>0</v>
      </c>
      <c r="S109" s="76">
        <f t="shared" si="34"/>
        <v>0</v>
      </c>
    </row>
    <row r="110" spans="1:19" x14ac:dyDescent="0.25">
      <c r="A110" s="413"/>
      <c r="B110" s="428"/>
      <c r="C110" s="413"/>
      <c r="D110" s="413" t="s">
        <v>525</v>
      </c>
      <c r="E110" s="159">
        <f>1590786420-240170682</f>
        <v>1350615738</v>
      </c>
      <c r="F110" s="414"/>
      <c r="G110" s="414">
        <v>1350615738</v>
      </c>
      <c r="H110" s="160">
        <f t="shared" si="25"/>
        <v>0</v>
      </c>
      <c r="I110" s="415"/>
      <c r="J110" s="415"/>
      <c r="K110" s="416"/>
      <c r="L110" s="416">
        <f t="shared" si="26"/>
        <v>0</v>
      </c>
      <c r="M110" s="416">
        <f>+H110</f>
        <v>0</v>
      </c>
      <c r="N110" s="160"/>
      <c r="O110" s="160"/>
      <c r="P110" s="160"/>
      <c r="Q110" s="415"/>
      <c r="R110" s="415"/>
      <c r="S110" s="415"/>
    </row>
    <row r="111" spans="1:19" x14ac:dyDescent="0.25">
      <c r="A111" s="413"/>
      <c r="B111" s="428"/>
      <c r="C111" s="413"/>
      <c r="D111" s="413" t="s">
        <v>526</v>
      </c>
      <c r="E111" s="159">
        <v>6196000000</v>
      </c>
      <c r="F111" s="414"/>
      <c r="G111" s="414">
        <v>5487607918</v>
      </c>
      <c r="H111" s="160">
        <f t="shared" si="25"/>
        <v>708392082</v>
      </c>
      <c r="I111" s="415"/>
      <c r="J111" s="415"/>
      <c r="K111" s="416"/>
      <c r="L111" s="416">
        <f t="shared" si="26"/>
        <v>708392082</v>
      </c>
      <c r="M111" s="415"/>
      <c r="N111" s="160">
        <f>+H111</f>
        <v>708392082</v>
      </c>
      <c r="O111" s="160"/>
      <c r="P111" s="160"/>
      <c r="Q111" s="415"/>
      <c r="R111" s="415"/>
      <c r="S111" s="415"/>
    </row>
    <row r="112" spans="1:19" x14ac:dyDescent="0.25">
      <c r="A112" s="413"/>
      <c r="B112" s="428"/>
      <c r="C112" s="413"/>
      <c r="D112" s="413" t="s">
        <v>527</v>
      </c>
      <c r="E112" s="159">
        <f>470000000-171680000</f>
        <v>298320000</v>
      </c>
      <c r="F112" s="414"/>
      <c r="G112" s="414">
        <v>298320000</v>
      </c>
      <c r="H112" s="160">
        <f t="shared" si="25"/>
        <v>0</v>
      </c>
      <c r="I112" s="415"/>
      <c r="J112" s="415"/>
      <c r="K112" s="416"/>
      <c r="L112" s="416">
        <f t="shared" si="26"/>
        <v>0</v>
      </c>
      <c r="M112" s="416">
        <f>+H112</f>
        <v>0</v>
      </c>
      <c r="N112" s="160"/>
      <c r="O112" s="160"/>
      <c r="P112" s="160">
        <v>0</v>
      </c>
      <c r="Q112" s="415"/>
      <c r="R112" s="415"/>
      <c r="S112" s="415"/>
    </row>
    <row r="113" spans="1:19" x14ac:dyDescent="0.25">
      <c r="A113" s="413"/>
      <c r="B113" s="428"/>
      <c r="C113" s="413"/>
      <c r="D113" s="413" t="s">
        <v>528</v>
      </c>
      <c r="E113" s="159">
        <v>219000000</v>
      </c>
      <c r="F113" s="414"/>
      <c r="G113" s="414">
        <v>219000000</v>
      </c>
      <c r="H113" s="160">
        <f t="shared" si="25"/>
        <v>0</v>
      </c>
      <c r="I113" s="415"/>
      <c r="J113" s="415"/>
      <c r="K113" s="416"/>
      <c r="L113" s="416">
        <f t="shared" si="26"/>
        <v>0</v>
      </c>
      <c r="M113" s="415"/>
      <c r="N113" s="160"/>
      <c r="O113" s="160"/>
      <c r="P113" s="160"/>
      <c r="Q113" s="415"/>
      <c r="R113" s="415"/>
      <c r="S113" s="415"/>
    </row>
    <row r="114" spans="1:19" ht="25.5" x14ac:dyDescent="0.25">
      <c r="A114" s="429">
        <v>1.1000000000000001</v>
      </c>
      <c r="B114" s="427" t="s">
        <v>471</v>
      </c>
      <c r="C114" s="408">
        <v>1107859</v>
      </c>
      <c r="D114" s="408"/>
      <c r="E114" s="76">
        <f>+SUM(E115:E118)</f>
        <v>12013207380</v>
      </c>
      <c r="F114" s="76">
        <f t="shared" ref="F114:S114" si="35">+SUM(F115:F118)</f>
        <v>0</v>
      </c>
      <c r="G114" s="76">
        <f>+SUM(G115:G118)</f>
        <v>11970416872</v>
      </c>
      <c r="H114" s="76">
        <f t="shared" si="35"/>
        <v>42790508</v>
      </c>
      <c r="I114" s="76">
        <f t="shared" si="35"/>
        <v>0</v>
      </c>
      <c r="J114" s="76">
        <f t="shared" si="35"/>
        <v>0</v>
      </c>
      <c r="K114" s="76">
        <f t="shared" si="35"/>
        <v>0</v>
      </c>
      <c r="L114" s="76">
        <f t="shared" si="35"/>
        <v>42790508</v>
      </c>
      <c r="M114" s="76">
        <f t="shared" si="35"/>
        <v>784609</v>
      </c>
      <c r="N114" s="76">
        <f t="shared" si="35"/>
        <v>42005899</v>
      </c>
      <c r="O114" s="76">
        <f t="shared" si="35"/>
        <v>0</v>
      </c>
      <c r="P114" s="76">
        <f t="shared" si="35"/>
        <v>0</v>
      </c>
      <c r="Q114" s="76">
        <f t="shared" si="35"/>
        <v>0</v>
      </c>
      <c r="R114" s="76">
        <f t="shared" si="35"/>
        <v>0</v>
      </c>
      <c r="S114" s="76">
        <f t="shared" si="35"/>
        <v>0</v>
      </c>
    </row>
    <row r="115" spans="1:19" x14ac:dyDescent="0.25">
      <c r="A115" s="413"/>
      <c r="B115" s="428"/>
      <c r="C115" s="413"/>
      <c r="D115" s="413" t="s">
        <v>464</v>
      </c>
      <c r="E115" s="159">
        <f>3369690491-449845942</f>
        <v>2919844549</v>
      </c>
      <c r="F115" s="414"/>
      <c r="G115" s="414">
        <v>2919844549</v>
      </c>
      <c r="H115" s="160">
        <f t="shared" si="25"/>
        <v>0</v>
      </c>
      <c r="I115" s="415"/>
      <c r="J115" s="415"/>
      <c r="K115" s="416"/>
      <c r="L115" s="416">
        <f t="shared" si="26"/>
        <v>0</v>
      </c>
      <c r="M115" s="416">
        <f>+H115</f>
        <v>0</v>
      </c>
      <c r="N115" s="159"/>
      <c r="O115" s="160"/>
      <c r="P115" s="160"/>
      <c r="Q115" s="415"/>
      <c r="R115" s="415"/>
      <c r="S115" s="415"/>
    </row>
    <row r="116" spans="1:19" x14ac:dyDescent="0.25">
      <c r="A116" s="413"/>
      <c r="B116" s="428"/>
      <c r="C116" s="413"/>
      <c r="D116" s="413" t="s">
        <v>522</v>
      </c>
      <c r="E116" s="159">
        <v>7877144769</v>
      </c>
      <c r="F116" s="414"/>
      <c r="G116" s="414">
        <v>7835138870</v>
      </c>
      <c r="H116" s="160">
        <f t="shared" si="25"/>
        <v>42005899</v>
      </c>
      <c r="I116" s="415"/>
      <c r="J116" s="415"/>
      <c r="K116" s="416"/>
      <c r="L116" s="416">
        <f t="shared" si="26"/>
        <v>42005899</v>
      </c>
      <c r="M116" s="415"/>
      <c r="N116" s="159">
        <f>+H116</f>
        <v>42005899</v>
      </c>
      <c r="O116" s="160"/>
      <c r="P116" s="160"/>
      <c r="Q116" s="415"/>
      <c r="R116" s="415"/>
      <c r="S116" s="415"/>
    </row>
    <row r="117" spans="1:19" x14ac:dyDescent="0.25">
      <c r="A117" s="413"/>
      <c r="B117" s="428"/>
      <c r="C117" s="413"/>
      <c r="D117" s="413" t="s">
        <v>465</v>
      </c>
      <c r="E117" s="159">
        <f>1535000000-624781938</f>
        <v>910218062</v>
      </c>
      <c r="F117" s="414"/>
      <c r="G117" s="414">
        <v>910218062</v>
      </c>
      <c r="H117" s="160">
        <f t="shared" si="25"/>
        <v>0</v>
      </c>
      <c r="I117" s="415"/>
      <c r="J117" s="415"/>
      <c r="K117" s="416"/>
      <c r="L117" s="416">
        <f t="shared" si="26"/>
        <v>0</v>
      </c>
      <c r="M117" s="416">
        <f>+H117</f>
        <v>0</v>
      </c>
      <c r="N117" s="159"/>
      <c r="O117" s="160"/>
      <c r="P117" s="160">
        <v>0</v>
      </c>
      <c r="Q117" s="415"/>
      <c r="R117" s="415"/>
      <c r="S117" s="415"/>
    </row>
    <row r="118" spans="1:19" x14ac:dyDescent="0.25">
      <c r="A118" s="413"/>
      <c r="B118" s="428"/>
      <c r="C118" s="413"/>
      <c r="D118" s="413" t="s">
        <v>523</v>
      </c>
      <c r="E118" s="159">
        <v>306000000</v>
      </c>
      <c r="F118" s="414"/>
      <c r="G118" s="414">
        <v>305215391</v>
      </c>
      <c r="H118" s="160">
        <f t="shared" si="25"/>
        <v>784609</v>
      </c>
      <c r="I118" s="415"/>
      <c r="J118" s="415"/>
      <c r="K118" s="416"/>
      <c r="L118" s="416">
        <f t="shared" si="26"/>
        <v>784609</v>
      </c>
      <c r="M118" s="416">
        <f>+H118</f>
        <v>784609</v>
      </c>
      <c r="N118" s="159"/>
      <c r="O118" s="160"/>
      <c r="P118" s="160"/>
      <c r="Q118" s="415"/>
      <c r="R118" s="415"/>
      <c r="S118" s="415"/>
    </row>
    <row r="119" spans="1:19" ht="25.5" x14ac:dyDescent="0.25">
      <c r="A119" s="408">
        <v>1.1100000000000001</v>
      </c>
      <c r="B119" s="427" t="s">
        <v>472</v>
      </c>
      <c r="C119" s="408">
        <v>1102487</v>
      </c>
      <c r="D119" s="408"/>
      <c r="E119" s="76">
        <f t="shared" ref="E119:S119" si="36">+SUM(E120:E123)</f>
        <v>10277420745</v>
      </c>
      <c r="F119" s="76">
        <f t="shared" si="36"/>
        <v>0</v>
      </c>
      <c r="G119" s="76">
        <f t="shared" si="36"/>
        <v>9525050494</v>
      </c>
      <c r="H119" s="76">
        <f t="shared" si="36"/>
        <v>752370251</v>
      </c>
      <c r="I119" s="76">
        <f t="shared" si="36"/>
        <v>0</v>
      </c>
      <c r="J119" s="76">
        <f t="shared" si="36"/>
        <v>0</v>
      </c>
      <c r="K119" s="76">
        <f t="shared" si="36"/>
        <v>0</v>
      </c>
      <c r="L119" s="76">
        <f t="shared" si="36"/>
        <v>752370251</v>
      </c>
      <c r="M119" s="76">
        <f t="shared" si="36"/>
        <v>0</v>
      </c>
      <c r="N119" s="76">
        <f t="shared" si="36"/>
        <v>752370251</v>
      </c>
      <c r="O119" s="76">
        <f t="shared" si="36"/>
        <v>0</v>
      </c>
      <c r="P119" s="76">
        <f t="shared" si="36"/>
        <v>0</v>
      </c>
      <c r="Q119" s="76">
        <f t="shared" si="36"/>
        <v>0</v>
      </c>
      <c r="R119" s="76">
        <f t="shared" si="36"/>
        <v>0</v>
      </c>
      <c r="S119" s="76">
        <f t="shared" si="36"/>
        <v>0</v>
      </c>
    </row>
    <row r="120" spans="1:19" x14ac:dyDescent="0.25">
      <c r="A120" s="413"/>
      <c r="B120" s="428"/>
      <c r="C120" s="413"/>
      <c r="D120" s="413" t="s">
        <v>464</v>
      </c>
      <c r="E120" s="159">
        <f>2624784368-194282603</f>
        <v>2430501765</v>
      </c>
      <c r="F120" s="414"/>
      <c r="G120" s="414">
        <v>2430501765</v>
      </c>
      <c r="H120" s="160">
        <f t="shared" si="25"/>
        <v>0</v>
      </c>
      <c r="I120" s="415"/>
      <c r="J120" s="415"/>
      <c r="K120" s="416"/>
      <c r="L120" s="416">
        <f t="shared" si="26"/>
        <v>0</v>
      </c>
      <c r="M120" s="416">
        <f>+H120</f>
        <v>0</v>
      </c>
      <c r="N120" s="160"/>
      <c r="O120" s="160"/>
      <c r="P120" s="160"/>
      <c r="Q120" s="415"/>
      <c r="R120" s="415"/>
      <c r="S120" s="415"/>
    </row>
    <row r="121" spans="1:19" x14ac:dyDescent="0.25">
      <c r="A121" s="413"/>
      <c r="B121" s="428"/>
      <c r="C121" s="413"/>
      <c r="D121" s="413" t="s">
        <v>465</v>
      </c>
      <c r="E121" s="159">
        <v>393918980</v>
      </c>
      <c r="F121" s="414"/>
      <c r="G121" s="414">
        <v>393918980</v>
      </c>
      <c r="H121" s="160"/>
      <c r="I121" s="415"/>
      <c r="J121" s="415"/>
      <c r="K121" s="416"/>
      <c r="L121" s="416"/>
      <c r="M121" s="416"/>
      <c r="N121" s="160"/>
      <c r="O121" s="160"/>
      <c r="P121" s="160"/>
      <c r="Q121" s="415"/>
      <c r="R121" s="415"/>
      <c r="S121" s="415"/>
    </row>
    <row r="122" spans="1:19" x14ac:dyDescent="0.25">
      <c r="A122" s="413"/>
      <c r="B122" s="428"/>
      <c r="C122" s="413"/>
      <c r="D122" s="413" t="s">
        <v>522</v>
      </c>
      <c r="E122" s="159">
        <v>7202000000</v>
      </c>
      <c r="F122" s="414"/>
      <c r="G122" s="414">
        <v>6449629749</v>
      </c>
      <c r="H122" s="160">
        <f t="shared" si="25"/>
        <v>752370251</v>
      </c>
      <c r="I122" s="415"/>
      <c r="J122" s="415"/>
      <c r="K122" s="416"/>
      <c r="L122" s="416">
        <f t="shared" si="26"/>
        <v>752370251</v>
      </c>
      <c r="M122" s="415"/>
      <c r="N122" s="160">
        <f>+H122</f>
        <v>752370251</v>
      </c>
      <c r="O122" s="160"/>
      <c r="P122" s="160"/>
      <c r="Q122" s="415"/>
      <c r="R122" s="415"/>
      <c r="S122" s="415"/>
    </row>
    <row r="123" spans="1:19" x14ac:dyDescent="0.25">
      <c r="A123" s="413"/>
      <c r="B123" s="428"/>
      <c r="C123" s="413"/>
      <c r="D123" s="413" t="s">
        <v>523</v>
      </c>
      <c r="E123" s="159">
        <v>251000000</v>
      </c>
      <c r="F123" s="414"/>
      <c r="G123" s="414">
        <v>251000000</v>
      </c>
      <c r="H123" s="160">
        <f t="shared" si="25"/>
        <v>0</v>
      </c>
      <c r="I123" s="415"/>
      <c r="J123" s="415"/>
      <c r="K123" s="416"/>
      <c r="L123" s="416">
        <f t="shared" si="26"/>
        <v>0</v>
      </c>
      <c r="M123" s="415"/>
      <c r="N123" s="160"/>
      <c r="O123" s="160"/>
      <c r="P123" s="160"/>
      <c r="Q123" s="415"/>
      <c r="R123" s="415"/>
      <c r="S123" s="415"/>
    </row>
    <row r="124" spans="1:19" x14ac:dyDescent="0.25">
      <c r="A124" s="408">
        <v>2</v>
      </c>
      <c r="B124" s="156" t="s">
        <v>473</v>
      </c>
      <c r="C124" s="408">
        <v>1162079</v>
      </c>
      <c r="D124" s="413"/>
      <c r="E124" s="155">
        <f>+E125</f>
        <v>2665000000</v>
      </c>
      <c r="F124" s="155">
        <f t="shared" ref="F124:S124" si="37">+F125</f>
        <v>0</v>
      </c>
      <c r="G124" s="155">
        <f t="shared" si="37"/>
        <v>2564723285</v>
      </c>
      <c r="H124" s="155">
        <f t="shared" si="37"/>
        <v>100276715</v>
      </c>
      <c r="I124" s="155">
        <f t="shared" si="37"/>
        <v>0</v>
      </c>
      <c r="J124" s="155">
        <f t="shared" si="37"/>
        <v>0</v>
      </c>
      <c r="K124" s="155">
        <f t="shared" si="37"/>
        <v>0</v>
      </c>
      <c r="L124" s="155">
        <f t="shared" si="37"/>
        <v>100276715</v>
      </c>
      <c r="M124" s="155">
        <f t="shared" si="37"/>
        <v>9300000</v>
      </c>
      <c r="N124" s="155">
        <f t="shared" si="37"/>
        <v>90976715</v>
      </c>
      <c r="O124" s="155">
        <f t="shared" si="37"/>
        <v>0</v>
      </c>
      <c r="P124" s="155">
        <f t="shared" si="37"/>
        <v>0</v>
      </c>
      <c r="Q124" s="155">
        <f t="shared" si="37"/>
        <v>0</v>
      </c>
      <c r="R124" s="155">
        <f t="shared" si="37"/>
        <v>0</v>
      </c>
      <c r="S124" s="155">
        <f t="shared" si="37"/>
        <v>0</v>
      </c>
    </row>
    <row r="125" spans="1:19" x14ac:dyDescent="0.25">
      <c r="A125" s="408">
        <v>2.1</v>
      </c>
      <c r="B125" s="161" t="s">
        <v>536</v>
      </c>
      <c r="C125" s="154"/>
      <c r="D125" s="408">
        <v>132</v>
      </c>
      <c r="E125" s="76">
        <f>+SUM(E126:E129)</f>
        <v>2665000000</v>
      </c>
      <c r="F125" s="76">
        <f t="shared" ref="F125:S125" si="38">+SUM(F126:F129)</f>
        <v>0</v>
      </c>
      <c r="G125" s="76">
        <f t="shared" si="38"/>
        <v>2564723285</v>
      </c>
      <c r="H125" s="76">
        <f t="shared" si="38"/>
        <v>100276715</v>
      </c>
      <c r="I125" s="76">
        <f t="shared" si="38"/>
        <v>0</v>
      </c>
      <c r="J125" s="76">
        <f t="shared" si="38"/>
        <v>0</v>
      </c>
      <c r="K125" s="76">
        <f t="shared" si="38"/>
        <v>0</v>
      </c>
      <c r="L125" s="76">
        <f t="shared" si="38"/>
        <v>100276715</v>
      </c>
      <c r="M125" s="76">
        <f t="shared" si="38"/>
        <v>9300000</v>
      </c>
      <c r="N125" s="76">
        <f t="shared" si="38"/>
        <v>90976715</v>
      </c>
      <c r="O125" s="76">
        <f t="shared" si="38"/>
        <v>0</v>
      </c>
      <c r="P125" s="76">
        <f t="shared" si="38"/>
        <v>0</v>
      </c>
      <c r="Q125" s="76">
        <f t="shared" si="38"/>
        <v>0</v>
      </c>
      <c r="R125" s="76">
        <f t="shared" si="38"/>
        <v>0</v>
      </c>
      <c r="S125" s="76">
        <f t="shared" si="38"/>
        <v>0</v>
      </c>
    </row>
    <row r="126" spans="1:19" x14ac:dyDescent="0.25">
      <c r="A126" s="413"/>
      <c r="B126" s="162"/>
      <c r="C126" s="430"/>
      <c r="D126" s="413" t="s">
        <v>537</v>
      </c>
      <c r="E126" s="159">
        <v>2305000000</v>
      </c>
      <c r="F126" s="414"/>
      <c r="G126" s="414">
        <v>2214023285</v>
      </c>
      <c r="H126" s="160">
        <f>+E126-G126</f>
        <v>90976715</v>
      </c>
      <c r="I126" s="422"/>
      <c r="J126" s="422"/>
      <c r="K126" s="422"/>
      <c r="L126" s="416">
        <f>SUM(M126:S126)</f>
        <v>90976715</v>
      </c>
      <c r="M126" s="422"/>
      <c r="N126" s="159">
        <f>+H126</f>
        <v>90976715</v>
      </c>
      <c r="O126" s="422"/>
      <c r="P126" s="422"/>
      <c r="Q126" s="422"/>
      <c r="R126" s="422"/>
      <c r="S126" s="422"/>
    </row>
    <row r="127" spans="1:19" x14ac:dyDescent="0.25">
      <c r="A127" s="413"/>
      <c r="B127" s="162"/>
      <c r="C127" s="430"/>
      <c r="D127" s="413" t="s">
        <v>538</v>
      </c>
      <c r="E127" s="159">
        <v>160000000</v>
      </c>
      <c r="F127" s="414"/>
      <c r="G127" s="414">
        <v>156780000</v>
      </c>
      <c r="H127" s="160">
        <f>+E127-G127</f>
        <v>3220000</v>
      </c>
      <c r="I127" s="422"/>
      <c r="J127" s="422"/>
      <c r="K127" s="422"/>
      <c r="L127" s="416">
        <f>SUM(M127:S127)</f>
        <v>3220000</v>
      </c>
      <c r="M127" s="422">
        <f>+H127</f>
        <v>3220000</v>
      </c>
      <c r="N127" s="159"/>
      <c r="O127" s="422"/>
      <c r="P127" s="422"/>
      <c r="Q127" s="422"/>
      <c r="R127" s="422"/>
      <c r="S127" s="422"/>
    </row>
    <row r="128" spans="1:19" x14ac:dyDescent="0.25">
      <c r="A128" s="413"/>
      <c r="B128" s="162"/>
      <c r="C128" s="430"/>
      <c r="D128" s="413" t="s">
        <v>539</v>
      </c>
      <c r="E128" s="159">
        <v>6000000</v>
      </c>
      <c r="F128" s="414"/>
      <c r="G128" s="414">
        <v>0</v>
      </c>
      <c r="H128" s="160">
        <f>+E128-G128</f>
        <v>6000000</v>
      </c>
      <c r="I128" s="422"/>
      <c r="J128" s="422"/>
      <c r="K128" s="422"/>
      <c r="L128" s="416">
        <f>SUM(M128:S128)</f>
        <v>6000000</v>
      </c>
      <c r="M128" s="422">
        <f>+H128</f>
        <v>6000000</v>
      </c>
      <c r="N128" s="159"/>
      <c r="O128" s="422"/>
      <c r="P128" s="422">
        <v>0</v>
      </c>
      <c r="Q128" s="422"/>
      <c r="R128" s="422"/>
      <c r="S128" s="422"/>
    </row>
    <row r="129" spans="1:19" x14ac:dyDescent="0.25">
      <c r="A129" s="413"/>
      <c r="B129" s="162"/>
      <c r="C129" s="430"/>
      <c r="D129" s="413" t="s">
        <v>540</v>
      </c>
      <c r="E129" s="159">
        <v>194000000</v>
      </c>
      <c r="F129" s="414"/>
      <c r="G129" s="414">
        <v>193920000</v>
      </c>
      <c r="H129" s="160">
        <f>+E129-G129</f>
        <v>80000</v>
      </c>
      <c r="I129" s="422"/>
      <c r="J129" s="422"/>
      <c r="K129" s="422"/>
      <c r="L129" s="416">
        <f>SUM(M129:S129)</f>
        <v>80000</v>
      </c>
      <c r="M129" s="422">
        <f>+H129</f>
        <v>80000</v>
      </c>
      <c r="N129" s="159"/>
      <c r="O129" s="422"/>
      <c r="P129" s="422"/>
      <c r="Q129" s="422"/>
      <c r="R129" s="422"/>
      <c r="S129" s="422"/>
    </row>
    <row r="130" spans="1:19" ht="33" customHeight="1" x14ac:dyDescent="0.25">
      <c r="A130" s="408">
        <v>3</v>
      </c>
      <c r="B130" s="156" t="s">
        <v>476</v>
      </c>
      <c r="C130" s="417"/>
      <c r="D130" s="431"/>
      <c r="E130" s="76">
        <f>+E131+E154+E164+E177+E183+E187</f>
        <v>75252384754</v>
      </c>
      <c r="F130" s="76">
        <f t="shared" ref="F130:P130" si="39">+F131+F154+F164+F177+F183+F187</f>
        <v>0</v>
      </c>
      <c r="G130" s="76">
        <f t="shared" si="39"/>
        <v>64469833607</v>
      </c>
      <c r="H130" s="76">
        <f t="shared" si="39"/>
        <v>10782551147</v>
      </c>
      <c r="I130" s="76">
        <f t="shared" si="39"/>
        <v>0</v>
      </c>
      <c r="J130" s="76">
        <f t="shared" si="39"/>
        <v>0</v>
      </c>
      <c r="K130" s="76">
        <f t="shared" si="39"/>
        <v>0</v>
      </c>
      <c r="L130" s="76">
        <f t="shared" si="39"/>
        <v>9831046472</v>
      </c>
      <c r="M130" s="76">
        <f t="shared" si="39"/>
        <v>5773755189</v>
      </c>
      <c r="N130" s="76">
        <f t="shared" si="39"/>
        <v>3033795958</v>
      </c>
      <c r="O130" s="76">
        <f t="shared" si="39"/>
        <v>0</v>
      </c>
      <c r="P130" s="76">
        <f t="shared" si="39"/>
        <v>1975000000</v>
      </c>
      <c r="Q130" s="76">
        <f t="shared" ref="Q130:S130" si="40">+Q131+Q154+Q164+Q177+Q183</f>
        <v>0</v>
      </c>
      <c r="R130" s="76">
        <f t="shared" si="40"/>
        <v>0</v>
      </c>
      <c r="S130" s="76">
        <f t="shared" si="40"/>
        <v>0</v>
      </c>
    </row>
    <row r="131" spans="1:19" x14ac:dyDescent="0.25">
      <c r="A131" s="432">
        <v>3.1</v>
      </c>
      <c r="B131" s="156" t="s">
        <v>477</v>
      </c>
      <c r="C131" s="433">
        <v>1158336</v>
      </c>
      <c r="D131" s="433"/>
      <c r="E131" s="76">
        <f>+SUM(E132:E153)</f>
        <v>22280992429</v>
      </c>
      <c r="F131" s="76">
        <f t="shared" ref="F131:S131" si="41">+SUM(F132:F153)</f>
        <v>0</v>
      </c>
      <c r="G131" s="76">
        <f>+SUM(G132:G153)</f>
        <v>21489015755</v>
      </c>
      <c r="H131" s="76">
        <f t="shared" si="41"/>
        <v>791976674</v>
      </c>
      <c r="I131" s="76">
        <f t="shared" si="41"/>
        <v>0</v>
      </c>
      <c r="J131" s="76">
        <f t="shared" si="41"/>
        <v>0</v>
      </c>
      <c r="K131" s="76">
        <f t="shared" si="41"/>
        <v>0</v>
      </c>
      <c r="L131" s="76">
        <f t="shared" si="41"/>
        <v>791976674</v>
      </c>
      <c r="M131" s="76">
        <f t="shared" si="41"/>
        <v>266965199</v>
      </c>
      <c r="N131" s="76">
        <f t="shared" si="41"/>
        <v>525011475</v>
      </c>
      <c r="O131" s="76">
        <f t="shared" si="41"/>
        <v>0</v>
      </c>
      <c r="P131" s="76">
        <f t="shared" si="41"/>
        <v>0</v>
      </c>
      <c r="Q131" s="76">
        <f t="shared" si="41"/>
        <v>0</v>
      </c>
      <c r="R131" s="76">
        <f t="shared" si="41"/>
        <v>0</v>
      </c>
      <c r="S131" s="76">
        <f t="shared" si="41"/>
        <v>0</v>
      </c>
    </row>
    <row r="132" spans="1:19" x14ac:dyDescent="0.25">
      <c r="A132" s="417"/>
      <c r="B132" s="421" t="s">
        <v>405</v>
      </c>
      <c r="C132" s="434" t="s">
        <v>541</v>
      </c>
      <c r="D132" s="431" t="s">
        <v>542</v>
      </c>
      <c r="E132" s="159">
        <v>456500571</v>
      </c>
      <c r="F132" s="159"/>
      <c r="G132" s="159">
        <v>456500571</v>
      </c>
      <c r="H132" s="422">
        <f t="shared" ref="H132:H186" si="42">E132-G132</f>
        <v>0</v>
      </c>
      <c r="I132" s="159"/>
      <c r="J132" s="159"/>
      <c r="K132" s="159"/>
      <c r="L132" s="416">
        <f t="shared" ref="L132:L142" si="43">SUM(M132:S132)</f>
        <v>0</v>
      </c>
      <c r="M132" s="159"/>
      <c r="N132" s="159">
        <v>0</v>
      </c>
      <c r="O132" s="159"/>
      <c r="P132" s="159"/>
      <c r="Q132" s="159"/>
      <c r="R132" s="159"/>
      <c r="S132" s="159"/>
    </row>
    <row r="133" spans="1:19" x14ac:dyDescent="0.25">
      <c r="A133" s="417"/>
      <c r="B133" s="421" t="s">
        <v>405</v>
      </c>
      <c r="C133" s="434" t="s">
        <v>541</v>
      </c>
      <c r="D133" s="431" t="s">
        <v>543</v>
      </c>
      <c r="E133" s="159">
        <v>584466400</v>
      </c>
      <c r="F133" s="159"/>
      <c r="G133" s="159">
        <v>584466400</v>
      </c>
      <c r="H133" s="422">
        <f t="shared" si="42"/>
        <v>0</v>
      </c>
      <c r="I133" s="159"/>
      <c r="J133" s="159"/>
      <c r="K133" s="159"/>
      <c r="L133" s="416">
        <f t="shared" si="43"/>
        <v>0</v>
      </c>
      <c r="M133" s="159"/>
      <c r="N133" s="159"/>
      <c r="O133" s="159"/>
      <c r="P133" s="159">
        <v>0</v>
      </c>
      <c r="Q133" s="159"/>
      <c r="R133" s="159"/>
      <c r="S133" s="159"/>
    </row>
    <row r="134" spans="1:19" x14ac:dyDescent="0.25">
      <c r="A134" s="417"/>
      <c r="B134" s="421"/>
      <c r="C134" s="434" t="s">
        <v>541</v>
      </c>
      <c r="D134" s="431" t="s">
        <v>544</v>
      </c>
      <c r="E134" s="159">
        <v>249605000</v>
      </c>
      <c r="F134" s="159"/>
      <c r="G134" s="159">
        <v>249605000</v>
      </c>
      <c r="H134" s="422">
        <f t="shared" si="42"/>
        <v>0</v>
      </c>
      <c r="I134" s="159"/>
      <c r="J134" s="159"/>
      <c r="K134" s="159"/>
      <c r="L134" s="416">
        <f t="shared" si="43"/>
        <v>0</v>
      </c>
      <c r="M134" s="159"/>
      <c r="N134" s="159"/>
      <c r="O134" s="159"/>
      <c r="P134" s="159"/>
      <c r="Q134" s="159"/>
      <c r="R134" s="159"/>
      <c r="S134" s="159"/>
    </row>
    <row r="135" spans="1:19" x14ac:dyDescent="0.25">
      <c r="A135" s="417"/>
      <c r="B135" s="421"/>
      <c r="C135" s="434" t="s">
        <v>541</v>
      </c>
      <c r="D135" s="431" t="s">
        <v>545</v>
      </c>
      <c r="E135" s="159">
        <v>96033600</v>
      </c>
      <c r="F135" s="159"/>
      <c r="G135" s="159">
        <v>96033600</v>
      </c>
      <c r="H135" s="422">
        <f t="shared" si="42"/>
        <v>0</v>
      </c>
      <c r="I135" s="159"/>
      <c r="J135" s="159"/>
      <c r="K135" s="159"/>
      <c r="L135" s="416">
        <f t="shared" si="43"/>
        <v>0</v>
      </c>
      <c r="M135" s="159"/>
      <c r="N135" s="159"/>
      <c r="O135" s="159"/>
      <c r="P135" s="159"/>
      <c r="Q135" s="159"/>
      <c r="R135" s="159"/>
      <c r="S135" s="159"/>
    </row>
    <row r="136" spans="1:19" x14ac:dyDescent="0.25">
      <c r="A136" s="417"/>
      <c r="B136" s="421"/>
      <c r="C136" s="434" t="s">
        <v>541</v>
      </c>
      <c r="D136" s="431" t="s">
        <v>546</v>
      </c>
      <c r="E136" s="159">
        <v>65981984</v>
      </c>
      <c r="F136" s="159"/>
      <c r="G136" s="159">
        <v>65981984</v>
      </c>
      <c r="H136" s="422">
        <f t="shared" si="42"/>
        <v>0</v>
      </c>
      <c r="I136" s="159"/>
      <c r="J136" s="159"/>
      <c r="K136" s="159"/>
      <c r="L136" s="416">
        <f t="shared" si="43"/>
        <v>0</v>
      </c>
      <c r="M136" s="159"/>
      <c r="N136" s="159"/>
      <c r="O136" s="159"/>
      <c r="P136" s="159"/>
      <c r="Q136" s="159"/>
      <c r="R136" s="159"/>
      <c r="S136" s="159"/>
    </row>
    <row r="137" spans="1:19" x14ac:dyDescent="0.25">
      <c r="A137" s="417"/>
      <c r="B137" s="421"/>
      <c r="C137" s="434" t="s">
        <v>541</v>
      </c>
      <c r="D137" s="431" t="s">
        <v>547</v>
      </c>
      <c r="E137" s="159">
        <v>110196000</v>
      </c>
      <c r="F137" s="159"/>
      <c r="G137" s="159">
        <v>110196000</v>
      </c>
      <c r="H137" s="422">
        <f t="shared" si="42"/>
        <v>0</v>
      </c>
      <c r="I137" s="159"/>
      <c r="J137" s="159"/>
      <c r="K137" s="159"/>
      <c r="L137" s="416">
        <f t="shared" si="43"/>
        <v>0</v>
      </c>
      <c r="M137" s="159"/>
      <c r="N137" s="159"/>
      <c r="O137" s="159"/>
      <c r="P137" s="159"/>
      <c r="Q137" s="159"/>
      <c r="R137" s="159"/>
      <c r="S137" s="159"/>
    </row>
    <row r="138" spans="1:19" x14ac:dyDescent="0.25">
      <c r="A138" s="417"/>
      <c r="B138" s="421"/>
      <c r="C138" s="434" t="s">
        <v>541</v>
      </c>
      <c r="D138" s="431" t="s">
        <v>548</v>
      </c>
      <c r="E138" s="159">
        <v>389785000</v>
      </c>
      <c r="F138" s="159"/>
      <c r="G138" s="159">
        <v>389785000</v>
      </c>
      <c r="H138" s="422">
        <f t="shared" si="42"/>
        <v>0</v>
      </c>
      <c r="I138" s="159"/>
      <c r="J138" s="159"/>
      <c r="K138" s="159"/>
      <c r="L138" s="416">
        <f t="shared" si="43"/>
        <v>0</v>
      </c>
      <c r="M138" s="159"/>
      <c r="N138" s="159"/>
      <c r="O138" s="159"/>
      <c r="P138" s="159"/>
      <c r="Q138" s="159"/>
      <c r="R138" s="159"/>
      <c r="S138" s="159"/>
    </row>
    <row r="139" spans="1:19" x14ac:dyDescent="0.25">
      <c r="A139" s="417"/>
      <c r="B139" s="421"/>
      <c r="C139" s="434" t="s">
        <v>541</v>
      </c>
      <c r="D139" s="431" t="s">
        <v>549</v>
      </c>
      <c r="E139" s="159">
        <v>462000000</v>
      </c>
      <c r="F139" s="159"/>
      <c r="G139" s="159">
        <v>457043000</v>
      </c>
      <c r="H139" s="422">
        <f t="shared" si="42"/>
        <v>4957000</v>
      </c>
      <c r="I139" s="159"/>
      <c r="J139" s="159"/>
      <c r="K139" s="159"/>
      <c r="L139" s="416">
        <f t="shared" si="43"/>
        <v>4957000</v>
      </c>
      <c r="M139" s="159">
        <v>4957000</v>
      </c>
      <c r="N139" s="159"/>
      <c r="O139" s="159"/>
      <c r="P139" s="159"/>
      <c r="Q139" s="159"/>
      <c r="R139" s="159"/>
      <c r="S139" s="159"/>
    </row>
    <row r="140" spans="1:19" x14ac:dyDescent="0.25">
      <c r="A140" s="417"/>
      <c r="B140" s="421"/>
      <c r="C140" s="434" t="s">
        <v>541</v>
      </c>
      <c r="D140" s="431" t="s">
        <v>550</v>
      </c>
      <c r="E140" s="159">
        <v>24000000</v>
      </c>
      <c r="F140" s="159"/>
      <c r="G140" s="159">
        <v>24000000</v>
      </c>
      <c r="H140" s="422">
        <f t="shared" si="42"/>
        <v>0</v>
      </c>
      <c r="I140" s="159"/>
      <c r="J140" s="159"/>
      <c r="K140" s="159"/>
      <c r="L140" s="416">
        <f t="shared" si="43"/>
        <v>0</v>
      </c>
      <c r="M140" s="159"/>
      <c r="N140" s="159"/>
      <c r="O140" s="159"/>
      <c r="P140" s="159"/>
      <c r="Q140" s="159"/>
      <c r="R140" s="159"/>
      <c r="S140" s="159"/>
    </row>
    <row r="141" spans="1:19" x14ac:dyDescent="0.25">
      <c r="A141" s="417"/>
      <c r="B141" s="421"/>
      <c r="C141" s="434" t="s">
        <v>541</v>
      </c>
      <c r="D141" s="431" t="s">
        <v>551</v>
      </c>
      <c r="E141" s="159">
        <v>2131973316</v>
      </c>
      <c r="F141" s="159"/>
      <c r="G141" s="159">
        <v>2119533316</v>
      </c>
      <c r="H141" s="422">
        <f t="shared" si="42"/>
        <v>12440000</v>
      </c>
      <c r="I141" s="159"/>
      <c r="J141" s="159"/>
      <c r="K141" s="159"/>
      <c r="L141" s="416">
        <f t="shared" si="43"/>
        <v>12440000</v>
      </c>
      <c r="M141" s="159">
        <f>+H141</f>
        <v>12440000</v>
      </c>
      <c r="N141" s="159"/>
      <c r="O141" s="159"/>
      <c r="P141" s="159"/>
      <c r="Q141" s="159"/>
      <c r="R141" s="159"/>
      <c r="S141" s="159"/>
    </row>
    <row r="142" spans="1:19" x14ac:dyDescent="0.25">
      <c r="A142" s="417"/>
      <c r="B142" s="421"/>
      <c r="C142" s="434" t="s">
        <v>541</v>
      </c>
      <c r="D142" s="431" t="s">
        <v>552</v>
      </c>
      <c r="E142" s="159">
        <v>1085571850</v>
      </c>
      <c r="F142" s="159"/>
      <c r="G142" s="159">
        <v>1085571850</v>
      </c>
      <c r="H142" s="422">
        <f t="shared" si="42"/>
        <v>0</v>
      </c>
      <c r="I142" s="159"/>
      <c r="J142" s="159"/>
      <c r="K142" s="159"/>
      <c r="L142" s="416">
        <f t="shared" si="43"/>
        <v>0</v>
      </c>
      <c r="M142" s="159"/>
      <c r="N142" s="159"/>
      <c r="O142" s="159"/>
      <c r="P142" s="159"/>
      <c r="Q142" s="159"/>
      <c r="R142" s="159"/>
      <c r="S142" s="159"/>
    </row>
    <row r="143" spans="1:19" x14ac:dyDescent="0.25">
      <c r="A143" s="417"/>
      <c r="B143" s="421"/>
      <c r="C143" s="434" t="s">
        <v>541</v>
      </c>
      <c r="D143" s="431" t="s">
        <v>553</v>
      </c>
      <c r="E143" s="159">
        <v>1155880425</v>
      </c>
      <c r="F143" s="159"/>
      <c r="G143" s="159">
        <v>1155880425</v>
      </c>
      <c r="H143" s="422">
        <f t="shared" si="42"/>
        <v>0</v>
      </c>
      <c r="I143" s="159"/>
      <c r="J143" s="159"/>
      <c r="K143" s="159"/>
      <c r="L143" s="416"/>
      <c r="M143" s="159"/>
      <c r="N143" s="159"/>
      <c r="O143" s="159"/>
      <c r="P143" s="159"/>
      <c r="Q143" s="159"/>
      <c r="R143" s="159"/>
      <c r="S143" s="159"/>
    </row>
    <row r="144" spans="1:19" x14ac:dyDescent="0.25">
      <c r="A144" s="417"/>
      <c r="B144" s="421"/>
      <c r="C144" s="434" t="s">
        <v>541</v>
      </c>
      <c r="D144" s="431" t="s">
        <v>554</v>
      </c>
      <c r="E144" s="159">
        <v>20066400</v>
      </c>
      <c r="F144" s="159"/>
      <c r="G144" s="159">
        <v>20066400</v>
      </c>
      <c r="H144" s="422">
        <f t="shared" si="42"/>
        <v>0</v>
      </c>
      <c r="I144" s="159"/>
      <c r="J144" s="159"/>
      <c r="K144" s="159"/>
      <c r="L144" s="416"/>
      <c r="M144" s="159"/>
      <c r="N144" s="159"/>
      <c r="O144" s="159"/>
      <c r="P144" s="159"/>
      <c r="Q144" s="159"/>
      <c r="R144" s="159"/>
      <c r="S144" s="159"/>
    </row>
    <row r="145" spans="1:19" x14ac:dyDescent="0.25">
      <c r="A145" s="417"/>
      <c r="B145" s="421"/>
      <c r="C145" s="434" t="s">
        <v>541</v>
      </c>
      <c r="D145" s="431" t="s">
        <v>555</v>
      </c>
      <c r="E145" s="159">
        <v>47422000</v>
      </c>
      <c r="F145" s="159"/>
      <c r="G145" s="159">
        <v>47422000</v>
      </c>
      <c r="H145" s="422">
        <f t="shared" si="42"/>
        <v>0</v>
      </c>
      <c r="I145" s="159"/>
      <c r="J145" s="159"/>
      <c r="K145" s="159"/>
      <c r="L145" s="416"/>
      <c r="M145" s="159"/>
      <c r="N145" s="159"/>
      <c r="O145" s="159"/>
      <c r="P145" s="159"/>
      <c r="Q145" s="159"/>
      <c r="R145" s="159"/>
      <c r="S145" s="159"/>
    </row>
    <row r="146" spans="1:19" x14ac:dyDescent="0.25">
      <c r="A146" s="417"/>
      <c r="B146" s="421"/>
      <c r="C146" s="434" t="s">
        <v>541</v>
      </c>
      <c r="D146" s="431" t="s">
        <v>556</v>
      </c>
      <c r="E146" s="159">
        <v>667000000</v>
      </c>
      <c r="F146" s="159"/>
      <c r="G146" s="159">
        <v>654451802</v>
      </c>
      <c r="H146" s="422">
        <f t="shared" si="42"/>
        <v>12548198</v>
      </c>
      <c r="I146" s="159"/>
      <c r="J146" s="159"/>
      <c r="K146" s="159"/>
      <c r="L146" s="416">
        <f t="shared" ref="L146:L153" si="44">SUM(M146:S146)</f>
        <v>12548198</v>
      </c>
      <c r="M146" s="159">
        <f>+H146</f>
        <v>12548198</v>
      </c>
      <c r="N146" s="159"/>
      <c r="O146" s="159"/>
      <c r="P146" s="159"/>
      <c r="Q146" s="159"/>
      <c r="R146" s="159"/>
      <c r="S146" s="159"/>
    </row>
    <row r="147" spans="1:19" x14ac:dyDescent="0.25">
      <c r="A147" s="417"/>
      <c r="B147" s="421"/>
      <c r="C147" s="434" t="s">
        <v>541</v>
      </c>
      <c r="D147" s="431" t="s">
        <v>557</v>
      </c>
      <c r="E147" s="159">
        <v>6735724956</v>
      </c>
      <c r="F147" s="159"/>
      <c r="G147" s="159">
        <v>6210713481</v>
      </c>
      <c r="H147" s="422">
        <f t="shared" si="42"/>
        <v>525011475</v>
      </c>
      <c r="I147" s="159"/>
      <c r="J147" s="159"/>
      <c r="K147" s="159"/>
      <c r="L147" s="416">
        <f t="shared" si="44"/>
        <v>525011475</v>
      </c>
      <c r="M147" s="159"/>
      <c r="N147" s="159">
        <f>+H147</f>
        <v>525011475</v>
      </c>
      <c r="O147" s="159"/>
      <c r="P147" s="159"/>
      <c r="Q147" s="159"/>
      <c r="R147" s="159"/>
      <c r="S147" s="159"/>
    </row>
    <row r="148" spans="1:19" x14ac:dyDescent="0.25">
      <c r="A148" s="417"/>
      <c r="B148" s="421"/>
      <c r="C148" s="434" t="s">
        <v>541</v>
      </c>
      <c r="D148" s="431" t="s">
        <v>558</v>
      </c>
      <c r="E148" s="159">
        <v>744599869</v>
      </c>
      <c r="F148" s="159"/>
      <c r="G148" s="159">
        <v>744599869</v>
      </c>
      <c r="H148" s="422">
        <f t="shared" si="42"/>
        <v>0</v>
      </c>
      <c r="I148" s="159"/>
      <c r="J148" s="159"/>
      <c r="K148" s="159"/>
      <c r="L148" s="416">
        <f t="shared" si="44"/>
        <v>0</v>
      </c>
      <c r="M148" s="159"/>
      <c r="N148" s="159"/>
      <c r="O148" s="159"/>
      <c r="P148" s="159"/>
      <c r="Q148" s="159"/>
      <c r="R148" s="159"/>
      <c r="S148" s="159"/>
    </row>
    <row r="149" spans="1:19" x14ac:dyDescent="0.25">
      <c r="A149" s="417"/>
      <c r="B149" s="421"/>
      <c r="C149" s="434" t="s">
        <v>541</v>
      </c>
      <c r="D149" s="431" t="s">
        <v>559</v>
      </c>
      <c r="E149" s="159">
        <v>1318568058</v>
      </c>
      <c r="F149" s="159"/>
      <c r="G149" s="159">
        <v>1318568058</v>
      </c>
      <c r="H149" s="422">
        <f t="shared" si="42"/>
        <v>0</v>
      </c>
      <c r="I149" s="159"/>
      <c r="J149" s="159"/>
      <c r="K149" s="159"/>
      <c r="L149" s="416">
        <f t="shared" si="44"/>
        <v>0</v>
      </c>
      <c r="M149" s="159"/>
      <c r="N149" s="159"/>
      <c r="O149" s="159"/>
      <c r="P149" s="159"/>
      <c r="Q149" s="159"/>
      <c r="R149" s="159"/>
      <c r="S149" s="159"/>
    </row>
    <row r="150" spans="1:19" x14ac:dyDescent="0.25">
      <c r="A150" s="417"/>
      <c r="B150" s="421"/>
      <c r="C150" s="434" t="s">
        <v>541</v>
      </c>
      <c r="D150" s="431" t="s">
        <v>560</v>
      </c>
      <c r="E150" s="159">
        <v>613500000</v>
      </c>
      <c r="F150" s="159"/>
      <c r="G150" s="159">
        <v>376480000</v>
      </c>
      <c r="H150" s="422">
        <f t="shared" si="42"/>
        <v>237020000</v>
      </c>
      <c r="I150" s="159"/>
      <c r="J150" s="159"/>
      <c r="K150" s="159"/>
      <c r="L150" s="416">
        <f t="shared" si="44"/>
        <v>237020000</v>
      </c>
      <c r="M150" s="159">
        <f>+H150</f>
        <v>237020000</v>
      </c>
      <c r="N150" s="159"/>
      <c r="O150" s="159"/>
      <c r="P150" s="159">
        <v>0</v>
      </c>
      <c r="Q150" s="159"/>
      <c r="R150" s="159"/>
      <c r="S150" s="159"/>
    </row>
    <row r="151" spans="1:19" x14ac:dyDescent="0.25">
      <c r="A151" s="417"/>
      <c r="B151" s="421"/>
      <c r="C151" s="434" t="s">
        <v>541</v>
      </c>
      <c r="D151" s="431" t="s">
        <v>561</v>
      </c>
      <c r="E151" s="159">
        <v>132000000</v>
      </c>
      <c r="F151" s="159"/>
      <c r="G151" s="159">
        <v>131999999</v>
      </c>
      <c r="H151" s="422">
        <f t="shared" si="42"/>
        <v>1</v>
      </c>
      <c r="I151" s="159"/>
      <c r="J151" s="159"/>
      <c r="K151" s="159"/>
      <c r="L151" s="416">
        <f t="shared" si="44"/>
        <v>1</v>
      </c>
      <c r="M151" s="159">
        <f>+H151</f>
        <v>1</v>
      </c>
      <c r="N151" s="159"/>
      <c r="O151" s="159"/>
      <c r="P151" s="159"/>
      <c r="Q151" s="159"/>
      <c r="R151" s="159"/>
      <c r="S151" s="159"/>
    </row>
    <row r="152" spans="1:19" x14ac:dyDescent="0.25">
      <c r="A152" s="417"/>
      <c r="B152" s="421"/>
      <c r="C152" s="434" t="s">
        <v>541</v>
      </c>
      <c r="D152" s="431" t="s">
        <v>562</v>
      </c>
      <c r="E152" s="159">
        <v>3621980000</v>
      </c>
      <c r="F152" s="159"/>
      <c r="G152" s="159">
        <v>3621980000</v>
      </c>
      <c r="H152" s="422">
        <f t="shared" si="42"/>
        <v>0</v>
      </c>
      <c r="I152" s="159"/>
      <c r="J152" s="159"/>
      <c r="K152" s="159"/>
      <c r="L152" s="416">
        <f t="shared" si="44"/>
        <v>0</v>
      </c>
      <c r="M152" s="159"/>
      <c r="N152" s="159"/>
      <c r="O152" s="159"/>
      <c r="P152" s="159"/>
      <c r="Q152" s="159"/>
      <c r="R152" s="159"/>
      <c r="S152" s="159"/>
    </row>
    <row r="153" spans="1:19" x14ac:dyDescent="0.25">
      <c r="A153" s="417"/>
      <c r="B153" s="421"/>
      <c r="C153" s="434" t="s">
        <v>541</v>
      </c>
      <c r="D153" s="431" t="s">
        <v>563</v>
      </c>
      <c r="E153" s="159">
        <v>1568137000</v>
      </c>
      <c r="F153" s="159"/>
      <c r="G153" s="159">
        <v>1568137000</v>
      </c>
      <c r="H153" s="422">
        <f t="shared" si="42"/>
        <v>0</v>
      </c>
      <c r="I153" s="159"/>
      <c r="J153" s="159"/>
      <c r="K153" s="159"/>
      <c r="L153" s="416">
        <f t="shared" si="44"/>
        <v>0</v>
      </c>
      <c r="M153" s="159"/>
      <c r="N153" s="159"/>
      <c r="O153" s="159"/>
      <c r="P153" s="159"/>
      <c r="Q153" s="159"/>
      <c r="R153" s="159"/>
      <c r="S153" s="159"/>
    </row>
    <row r="154" spans="1:19" ht="42" customHeight="1" x14ac:dyDescent="0.25">
      <c r="A154" s="420">
        <v>3.2</v>
      </c>
      <c r="B154" s="156" t="s">
        <v>564</v>
      </c>
      <c r="C154" s="433">
        <v>1156999</v>
      </c>
      <c r="D154" s="433"/>
      <c r="E154" s="76">
        <f>+SUM(E155:E163)</f>
        <v>26955653000</v>
      </c>
      <c r="F154" s="76">
        <f t="shared" ref="F154:S154" si="45">+SUM(F155:F163)</f>
        <v>0</v>
      </c>
      <c r="G154" s="76">
        <f>+SUM(G155:G163)</f>
        <v>22289476072</v>
      </c>
      <c r="H154" s="76">
        <f t="shared" si="45"/>
        <v>4666176928</v>
      </c>
      <c r="I154" s="76">
        <f t="shared" si="45"/>
        <v>0</v>
      </c>
      <c r="J154" s="76">
        <f t="shared" si="45"/>
        <v>0</v>
      </c>
      <c r="K154" s="76">
        <f t="shared" si="45"/>
        <v>0</v>
      </c>
      <c r="L154" s="76">
        <f t="shared" si="45"/>
        <v>4666176928</v>
      </c>
      <c r="M154" s="76">
        <f t="shared" si="45"/>
        <v>1857716581</v>
      </c>
      <c r="N154" s="76">
        <f t="shared" si="45"/>
        <v>1208460347</v>
      </c>
      <c r="O154" s="76">
        <f t="shared" si="45"/>
        <v>0</v>
      </c>
      <c r="P154" s="76">
        <f t="shared" si="45"/>
        <v>1600000000</v>
      </c>
      <c r="Q154" s="76">
        <f t="shared" si="45"/>
        <v>0</v>
      </c>
      <c r="R154" s="76">
        <f t="shared" si="45"/>
        <v>0</v>
      </c>
      <c r="S154" s="76">
        <f t="shared" si="45"/>
        <v>0</v>
      </c>
    </row>
    <row r="155" spans="1:19" x14ac:dyDescent="0.25">
      <c r="A155" s="417"/>
      <c r="B155" s="421"/>
      <c r="C155" s="434" t="s">
        <v>541</v>
      </c>
      <c r="D155" s="431" t="s">
        <v>542</v>
      </c>
      <c r="E155" s="159">
        <v>468000000</v>
      </c>
      <c r="F155" s="159"/>
      <c r="G155" s="159">
        <v>214455802</v>
      </c>
      <c r="H155" s="422">
        <f t="shared" si="42"/>
        <v>253544198</v>
      </c>
      <c r="I155" s="159"/>
      <c r="J155" s="159"/>
      <c r="K155" s="159"/>
      <c r="L155" s="416">
        <f>+SUM(M155:S155)</f>
        <v>253544198</v>
      </c>
      <c r="M155" s="416">
        <f>+H155</f>
        <v>253544198</v>
      </c>
      <c r="N155" s="416"/>
      <c r="O155" s="416"/>
      <c r="P155" s="416"/>
      <c r="Q155" s="416"/>
      <c r="R155" s="416"/>
      <c r="S155" s="416"/>
    </row>
    <row r="156" spans="1:19" x14ac:dyDescent="0.25">
      <c r="A156" s="417"/>
      <c r="B156" s="421"/>
      <c r="C156" s="434" t="s">
        <v>541</v>
      </c>
      <c r="D156" s="431" t="s">
        <v>543</v>
      </c>
      <c r="E156" s="159">
        <v>406000000</v>
      </c>
      <c r="F156" s="159"/>
      <c r="G156" s="159">
        <v>224200000</v>
      </c>
      <c r="H156" s="422">
        <f t="shared" si="42"/>
        <v>181800000</v>
      </c>
      <c r="I156" s="159"/>
      <c r="J156" s="159"/>
      <c r="K156" s="159"/>
      <c r="L156" s="416">
        <f t="shared" ref="L156:L163" si="46">+SUM(M156:S156)</f>
        <v>181800000</v>
      </c>
      <c r="M156" s="416">
        <f>+H156</f>
        <v>181800000</v>
      </c>
      <c r="N156" s="416"/>
      <c r="O156" s="416"/>
      <c r="P156" s="416"/>
      <c r="Q156" s="416"/>
      <c r="R156" s="416"/>
      <c r="S156" s="416"/>
    </row>
    <row r="157" spans="1:19" x14ac:dyDescent="0.25">
      <c r="A157" s="417"/>
      <c r="B157" s="421"/>
      <c r="C157" s="434" t="s">
        <v>541</v>
      </c>
      <c r="D157" s="431" t="s">
        <v>544</v>
      </c>
      <c r="E157" s="159">
        <v>72000000</v>
      </c>
      <c r="F157" s="159"/>
      <c r="G157" s="159">
        <v>3744000</v>
      </c>
      <c r="H157" s="422">
        <f t="shared" si="42"/>
        <v>68256000</v>
      </c>
      <c r="I157" s="159"/>
      <c r="J157" s="159"/>
      <c r="K157" s="159"/>
      <c r="L157" s="416">
        <f t="shared" si="46"/>
        <v>68256000</v>
      </c>
      <c r="M157" s="416">
        <f>+H157</f>
        <v>68256000</v>
      </c>
      <c r="N157" s="416"/>
      <c r="O157" s="416"/>
      <c r="P157" s="416"/>
      <c r="Q157" s="416"/>
      <c r="R157" s="416"/>
      <c r="S157" s="416"/>
    </row>
    <row r="158" spans="1:19" x14ac:dyDescent="0.25">
      <c r="A158" s="417"/>
      <c r="B158" s="421"/>
      <c r="C158" s="434" t="s">
        <v>541</v>
      </c>
      <c r="D158" s="431" t="s">
        <v>551</v>
      </c>
      <c r="E158" s="159">
        <v>6178500000</v>
      </c>
      <c r="F158" s="159"/>
      <c r="G158" s="159">
        <v>5348946253</v>
      </c>
      <c r="H158" s="422">
        <f t="shared" si="42"/>
        <v>829553747</v>
      </c>
      <c r="I158" s="159"/>
      <c r="J158" s="159"/>
      <c r="K158" s="159"/>
      <c r="L158" s="416">
        <f t="shared" si="46"/>
        <v>829553747</v>
      </c>
      <c r="M158" s="416">
        <f>+H158</f>
        <v>829553747</v>
      </c>
      <c r="N158" s="416"/>
      <c r="O158" s="416"/>
      <c r="P158" s="416"/>
      <c r="Q158" s="416"/>
      <c r="R158" s="416"/>
      <c r="S158" s="416"/>
    </row>
    <row r="159" spans="1:19" x14ac:dyDescent="0.25">
      <c r="A159" s="417"/>
      <c r="B159" s="421"/>
      <c r="C159" s="434" t="s">
        <v>541</v>
      </c>
      <c r="D159" s="431" t="s">
        <v>557</v>
      </c>
      <c r="E159" s="159">
        <v>3237500000</v>
      </c>
      <c r="F159" s="159"/>
      <c r="G159" s="159">
        <v>2029039653</v>
      </c>
      <c r="H159" s="422">
        <f t="shared" si="42"/>
        <v>1208460347</v>
      </c>
      <c r="I159" s="159"/>
      <c r="J159" s="159"/>
      <c r="K159" s="159"/>
      <c r="L159" s="416">
        <f t="shared" si="46"/>
        <v>1208460347</v>
      </c>
      <c r="M159" s="416"/>
      <c r="N159" s="416">
        <f>+H159</f>
        <v>1208460347</v>
      </c>
      <c r="O159" s="416"/>
      <c r="P159" s="416"/>
      <c r="Q159" s="416"/>
      <c r="R159" s="416"/>
      <c r="S159" s="416"/>
    </row>
    <row r="160" spans="1:19" x14ac:dyDescent="0.25">
      <c r="A160" s="417"/>
      <c r="B160" s="421"/>
      <c r="C160" s="434" t="s">
        <v>541</v>
      </c>
      <c r="D160" s="431" t="s">
        <v>565</v>
      </c>
      <c r="E160" s="159">
        <v>920000000</v>
      </c>
      <c r="F160" s="159"/>
      <c r="G160" s="159">
        <v>894319000</v>
      </c>
      <c r="H160" s="422">
        <f t="shared" si="42"/>
        <v>25681000</v>
      </c>
      <c r="I160" s="159"/>
      <c r="J160" s="159"/>
      <c r="K160" s="159"/>
      <c r="L160" s="416">
        <f>+SUM(M160:S160)</f>
        <v>25681000</v>
      </c>
      <c r="M160" s="416">
        <f>+H160</f>
        <v>25681000</v>
      </c>
      <c r="N160" s="416"/>
      <c r="O160" s="416"/>
      <c r="P160" s="416">
        <v>0</v>
      </c>
      <c r="Q160" s="416"/>
      <c r="R160" s="416"/>
      <c r="S160" s="416"/>
    </row>
    <row r="161" spans="1:19" x14ac:dyDescent="0.25">
      <c r="A161" s="417"/>
      <c r="B161" s="421"/>
      <c r="C161" s="434" t="s">
        <v>541</v>
      </c>
      <c r="D161" s="431" t="s">
        <v>560</v>
      </c>
      <c r="E161" s="159">
        <v>2459282000</v>
      </c>
      <c r="F161" s="159"/>
      <c r="G161" s="159">
        <v>386048864</v>
      </c>
      <c r="H161" s="422">
        <f t="shared" si="42"/>
        <v>2073233136</v>
      </c>
      <c r="I161" s="159"/>
      <c r="J161" s="159"/>
      <c r="K161" s="159"/>
      <c r="L161" s="416">
        <f t="shared" si="46"/>
        <v>2073233136</v>
      </c>
      <c r="M161" s="416">
        <v>473233136</v>
      </c>
      <c r="N161" s="416"/>
      <c r="O161" s="416"/>
      <c r="P161" s="416">
        <v>1600000000</v>
      </c>
      <c r="Q161" s="416"/>
      <c r="R161" s="416"/>
      <c r="S161" s="416"/>
    </row>
    <row r="162" spans="1:19" x14ac:dyDescent="0.25">
      <c r="A162" s="417"/>
      <c r="B162" s="421"/>
      <c r="C162" s="434" t="s">
        <v>541</v>
      </c>
      <c r="D162" s="431" t="s">
        <v>561</v>
      </c>
      <c r="E162" s="159">
        <v>228000000</v>
      </c>
      <c r="F162" s="159"/>
      <c r="G162" s="159">
        <v>202351500</v>
      </c>
      <c r="H162" s="422">
        <f t="shared" si="42"/>
        <v>25648500</v>
      </c>
      <c r="I162" s="159"/>
      <c r="J162" s="159"/>
      <c r="K162" s="159"/>
      <c r="L162" s="416">
        <f t="shared" si="46"/>
        <v>25648500</v>
      </c>
      <c r="M162" s="416">
        <f>+H162</f>
        <v>25648500</v>
      </c>
      <c r="N162" s="416"/>
      <c r="O162" s="416"/>
      <c r="P162" s="416"/>
      <c r="Q162" s="416"/>
      <c r="R162" s="416"/>
      <c r="S162" s="416"/>
    </row>
    <row r="163" spans="1:19" x14ac:dyDescent="0.25">
      <c r="A163" s="417"/>
      <c r="B163" s="421"/>
      <c r="C163" s="434" t="s">
        <v>541</v>
      </c>
      <c r="D163" s="431" t="s">
        <v>562</v>
      </c>
      <c r="E163" s="159">
        <v>12986371000</v>
      </c>
      <c r="F163" s="159"/>
      <c r="G163" s="159">
        <v>12986371000</v>
      </c>
      <c r="H163" s="422">
        <f t="shared" si="42"/>
        <v>0</v>
      </c>
      <c r="I163" s="159"/>
      <c r="J163" s="159"/>
      <c r="K163" s="159"/>
      <c r="L163" s="416">
        <f t="shared" si="46"/>
        <v>0</v>
      </c>
      <c r="M163" s="416"/>
      <c r="N163" s="416"/>
      <c r="O163" s="416"/>
      <c r="P163" s="416"/>
      <c r="Q163" s="416"/>
      <c r="R163" s="416"/>
      <c r="S163" s="416"/>
    </row>
    <row r="164" spans="1:19" ht="39.75" customHeight="1" x14ac:dyDescent="0.25">
      <c r="A164" s="420">
        <v>3.3</v>
      </c>
      <c r="B164" s="156" t="s">
        <v>496</v>
      </c>
      <c r="C164" s="433">
        <v>1158605</v>
      </c>
      <c r="D164" s="433"/>
      <c r="E164" s="76">
        <f>+SUM(E165:E176)</f>
        <v>12884891000</v>
      </c>
      <c r="F164" s="76">
        <f t="shared" ref="F164:S164" si="47">+SUM(F165:F176)</f>
        <v>0</v>
      </c>
      <c r="G164" s="76">
        <f>+SUM(G165:G176)</f>
        <v>8986258534</v>
      </c>
      <c r="H164" s="76">
        <f t="shared" si="47"/>
        <v>3898632466</v>
      </c>
      <c r="I164" s="76">
        <f t="shared" si="47"/>
        <v>0</v>
      </c>
      <c r="J164" s="76">
        <f t="shared" si="47"/>
        <v>0</v>
      </c>
      <c r="K164" s="76">
        <f t="shared" si="47"/>
        <v>0</v>
      </c>
      <c r="L164" s="76">
        <f t="shared" si="47"/>
        <v>3898632466</v>
      </c>
      <c r="M164" s="76">
        <f t="shared" si="47"/>
        <v>2256331845</v>
      </c>
      <c r="N164" s="76">
        <f t="shared" si="47"/>
        <v>1292300621</v>
      </c>
      <c r="O164" s="76">
        <f t="shared" si="47"/>
        <v>0</v>
      </c>
      <c r="P164" s="76">
        <f t="shared" si="47"/>
        <v>350000000</v>
      </c>
      <c r="Q164" s="76">
        <f t="shared" si="47"/>
        <v>0</v>
      </c>
      <c r="R164" s="76">
        <f t="shared" si="47"/>
        <v>0</v>
      </c>
      <c r="S164" s="76">
        <f t="shared" si="47"/>
        <v>0</v>
      </c>
    </row>
    <row r="165" spans="1:19" x14ac:dyDescent="0.25">
      <c r="A165" s="417"/>
      <c r="B165" s="421"/>
      <c r="C165" s="434" t="s">
        <v>541</v>
      </c>
      <c r="D165" s="431" t="s">
        <v>546</v>
      </c>
      <c r="E165" s="159">
        <v>270000000</v>
      </c>
      <c r="F165" s="159"/>
      <c r="G165" s="159">
        <v>82500000</v>
      </c>
      <c r="H165" s="422">
        <f>+E165-G165</f>
        <v>187500000</v>
      </c>
      <c r="I165" s="159"/>
      <c r="J165" s="159"/>
      <c r="K165" s="159"/>
      <c r="L165" s="416">
        <f>+SUM(M165:S165)</f>
        <v>187500000</v>
      </c>
      <c r="M165" s="416">
        <f>+H165</f>
        <v>187500000</v>
      </c>
      <c r="N165" s="416"/>
      <c r="O165" s="416"/>
      <c r="P165" s="416"/>
      <c r="Q165" s="416"/>
      <c r="R165" s="416"/>
      <c r="S165" s="416"/>
    </row>
    <row r="166" spans="1:19" x14ac:dyDescent="0.25">
      <c r="A166" s="417"/>
      <c r="B166" s="421"/>
      <c r="C166" s="434" t="s">
        <v>541</v>
      </c>
      <c r="D166" s="431" t="s">
        <v>547</v>
      </c>
      <c r="E166" s="159">
        <v>300000000</v>
      </c>
      <c r="F166" s="159"/>
      <c r="G166" s="159">
        <v>157070000</v>
      </c>
      <c r="H166" s="422">
        <f t="shared" ref="H166:H176" si="48">+E166-G166</f>
        <v>142930000</v>
      </c>
      <c r="I166" s="159"/>
      <c r="J166" s="159"/>
      <c r="K166" s="159"/>
      <c r="L166" s="416">
        <f t="shared" ref="L166:L176" si="49">+SUM(M166:S166)</f>
        <v>142930000</v>
      </c>
      <c r="M166" s="416">
        <f>+H166</f>
        <v>142930000</v>
      </c>
      <c r="N166" s="416"/>
      <c r="O166" s="416"/>
      <c r="P166" s="416"/>
      <c r="Q166" s="416"/>
      <c r="R166" s="416"/>
      <c r="S166" s="416"/>
    </row>
    <row r="167" spans="1:19" x14ac:dyDescent="0.25">
      <c r="A167" s="417"/>
      <c r="B167" s="421"/>
      <c r="C167" s="434" t="s">
        <v>541</v>
      </c>
      <c r="D167" s="431" t="s">
        <v>551</v>
      </c>
      <c r="E167" s="159">
        <v>635000000</v>
      </c>
      <c r="F167" s="159"/>
      <c r="G167" s="159">
        <v>271384000</v>
      </c>
      <c r="H167" s="422">
        <f t="shared" si="48"/>
        <v>363616000</v>
      </c>
      <c r="I167" s="159"/>
      <c r="J167" s="159"/>
      <c r="K167" s="159"/>
      <c r="L167" s="416">
        <f t="shared" si="49"/>
        <v>363616000</v>
      </c>
      <c r="M167" s="416">
        <f>+H167</f>
        <v>363616000</v>
      </c>
      <c r="N167" s="416"/>
      <c r="O167" s="416"/>
      <c r="P167" s="416"/>
      <c r="Q167" s="416"/>
      <c r="R167" s="416"/>
      <c r="S167" s="416"/>
    </row>
    <row r="168" spans="1:19" x14ac:dyDescent="0.25">
      <c r="A168" s="417"/>
      <c r="B168" s="421"/>
      <c r="C168" s="434" t="s">
        <v>541</v>
      </c>
      <c r="D168" s="431" t="s">
        <v>556</v>
      </c>
      <c r="E168" s="159">
        <v>2337000000</v>
      </c>
      <c r="F168" s="159"/>
      <c r="G168" s="159">
        <v>1221296650</v>
      </c>
      <c r="H168" s="422">
        <f t="shared" si="48"/>
        <v>1115703350</v>
      </c>
      <c r="I168" s="159"/>
      <c r="J168" s="159"/>
      <c r="K168" s="159"/>
      <c r="L168" s="416">
        <f t="shared" si="49"/>
        <v>1115703350</v>
      </c>
      <c r="M168" s="416">
        <f>+H168</f>
        <v>1115703350</v>
      </c>
      <c r="N168" s="416"/>
      <c r="O168" s="416"/>
      <c r="P168" s="416"/>
      <c r="Q168" s="416"/>
      <c r="R168" s="416"/>
      <c r="S168" s="416"/>
    </row>
    <row r="169" spans="1:19" x14ac:dyDescent="0.25">
      <c r="A169" s="417"/>
      <c r="B169" s="421"/>
      <c r="C169" s="434" t="s">
        <v>541</v>
      </c>
      <c r="D169" s="431" t="s">
        <v>557</v>
      </c>
      <c r="E169" s="159">
        <v>2207000000</v>
      </c>
      <c r="F169" s="159"/>
      <c r="G169" s="159">
        <v>914699379</v>
      </c>
      <c r="H169" s="422">
        <f t="shared" si="48"/>
        <v>1292300621</v>
      </c>
      <c r="I169" s="159"/>
      <c r="J169" s="159"/>
      <c r="K169" s="159"/>
      <c r="L169" s="416">
        <f t="shared" si="49"/>
        <v>1292300621</v>
      </c>
      <c r="M169" s="416">
        <v>0</v>
      </c>
      <c r="N169" s="416">
        <f>+H169</f>
        <v>1292300621</v>
      </c>
      <c r="O169" s="416"/>
      <c r="P169" s="416"/>
      <c r="Q169" s="416"/>
      <c r="R169" s="416"/>
      <c r="S169" s="416"/>
    </row>
    <row r="170" spans="1:19" x14ac:dyDescent="0.25">
      <c r="A170" s="417"/>
      <c r="B170" s="421"/>
      <c r="C170" s="434" t="s">
        <v>541</v>
      </c>
      <c r="D170" s="431" t="s">
        <v>566</v>
      </c>
      <c r="E170" s="159">
        <v>130270000</v>
      </c>
      <c r="F170" s="159"/>
      <c r="G170" s="159">
        <v>61870000</v>
      </c>
      <c r="H170" s="422">
        <f t="shared" si="48"/>
        <v>68400000</v>
      </c>
      <c r="I170" s="159"/>
      <c r="J170" s="159"/>
      <c r="K170" s="159"/>
      <c r="L170" s="416">
        <f t="shared" si="49"/>
        <v>68400000</v>
      </c>
      <c r="M170" s="416">
        <v>68400000</v>
      </c>
      <c r="N170" s="416"/>
      <c r="O170" s="416"/>
      <c r="P170" s="416">
        <v>0</v>
      </c>
      <c r="Q170" s="416"/>
      <c r="R170" s="416"/>
      <c r="S170" s="416"/>
    </row>
    <row r="171" spans="1:19" x14ac:dyDescent="0.25">
      <c r="A171" s="417"/>
      <c r="B171" s="421"/>
      <c r="C171" s="434" t="s">
        <v>541</v>
      </c>
      <c r="D171" s="431" t="s">
        <v>560</v>
      </c>
      <c r="E171" s="159">
        <v>3286807000</v>
      </c>
      <c r="F171" s="159"/>
      <c r="G171" s="159">
        <v>2561624505</v>
      </c>
      <c r="H171" s="422">
        <f t="shared" si="48"/>
        <v>725182495</v>
      </c>
      <c r="I171" s="159"/>
      <c r="J171" s="159"/>
      <c r="K171" s="159"/>
      <c r="L171" s="416">
        <f t="shared" si="49"/>
        <v>725182495</v>
      </c>
      <c r="M171" s="416">
        <v>375182495</v>
      </c>
      <c r="N171" s="416"/>
      <c r="O171" s="416"/>
      <c r="P171" s="416">
        <v>350000000</v>
      </c>
      <c r="Q171" s="416"/>
      <c r="R171" s="416"/>
      <c r="S171" s="416"/>
    </row>
    <row r="172" spans="1:19" x14ac:dyDescent="0.25">
      <c r="A172" s="417"/>
      <c r="B172" s="421"/>
      <c r="C172" s="434" t="s">
        <v>541</v>
      </c>
      <c r="D172" s="431" t="s">
        <v>561</v>
      </c>
      <c r="E172" s="159">
        <v>72000000</v>
      </c>
      <c r="F172" s="159"/>
      <c r="G172" s="159">
        <v>72000000</v>
      </c>
      <c r="H172" s="422">
        <f t="shared" si="48"/>
        <v>0</v>
      </c>
      <c r="I172" s="159"/>
      <c r="J172" s="159"/>
      <c r="K172" s="159"/>
      <c r="L172" s="416">
        <f t="shared" si="49"/>
        <v>0</v>
      </c>
      <c r="M172" s="416"/>
      <c r="N172" s="416"/>
      <c r="O172" s="416"/>
      <c r="P172" s="416"/>
      <c r="Q172" s="416"/>
      <c r="R172" s="416"/>
      <c r="S172" s="416"/>
    </row>
    <row r="173" spans="1:19" x14ac:dyDescent="0.25">
      <c r="A173" s="417"/>
      <c r="B173" s="421"/>
      <c r="C173" s="434" t="s">
        <v>541</v>
      </c>
      <c r="D173" s="431" t="s">
        <v>562</v>
      </c>
      <c r="E173" s="159">
        <v>2285514000</v>
      </c>
      <c r="F173" s="159"/>
      <c r="G173" s="159">
        <v>2285514000</v>
      </c>
      <c r="H173" s="422">
        <f t="shared" si="48"/>
        <v>0</v>
      </c>
      <c r="I173" s="159"/>
      <c r="J173" s="159"/>
      <c r="K173" s="159"/>
      <c r="L173" s="416">
        <f t="shared" si="49"/>
        <v>0</v>
      </c>
      <c r="M173" s="416"/>
      <c r="N173" s="416"/>
      <c r="O173" s="416"/>
      <c r="P173" s="416"/>
      <c r="Q173" s="416"/>
      <c r="R173" s="416"/>
      <c r="S173" s="416"/>
    </row>
    <row r="174" spans="1:19" x14ac:dyDescent="0.25">
      <c r="A174" s="417"/>
      <c r="B174" s="421"/>
      <c r="C174" s="434" t="s">
        <v>541</v>
      </c>
      <c r="D174" s="431" t="s">
        <v>567</v>
      </c>
      <c r="E174" s="159">
        <v>1224500000</v>
      </c>
      <c r="F174" s="159"/>
      <c r="G174" s="159">
        <v>1223500000</v>
      </c>
      <c r="H174" s="422">
        <f t="shared" si="48"/>
        <v>1000000</v>
      </c>
      <c r="I174" s="159"/>
      <c r="J174" s="159"/>
      <c r="K174" s="159"/>
      <c r="L174" s="416">
        <f t="shared" si="49"/>
        <v>1000000</v>
      </c>
      <c r="M174" s="416">
        <f>+H174</f>
        <v>1000000</v>
      </c>
      <c r="N174" s="416"/>
      <c r="O174" s="416"/>
      <c r="P174" s="416"/>
      <c r="Q174" s="416"/>
      <c r="R174" s="416"/>
      <c r="S174" s="416"/>
    </row>
    <row r="175" spans="1:19" x14ac:dyDescent="0.25">
      <c r="A175" s="417"/>
      <c r="B175" s="421"/>
      <c r="C175" s="434" t="s">
        <v>541</v>
      </c>
      <c r="D175" s="431" t="s">
        <v>568</v>
      </c>
      <c r="E175" s="159">
        <v>3600000</v>
      </c>
      <c r="F175" s="159"/>
      <c r="G175" s="159">
        <v>3200000</v>
      </c>
      <c r="H175" s="422">
        <f t="shared" si="48"/>
        <v>400000</v>
      </c>
      <c r="I175" s="159"/>
      <c r="J175" s="159"/>
      <c r="K175" s="159"/>
      <c r="L175" s="416">
        <f t="shared" si="49"/>
        <v>400000</v>
      </c>
      <c r="M175" s="416">
        <f>+H175</f>
        <v>400000</v>
      </c>
      <c r="N175" s="416"/>
      <c r="O175" s="416"/>
      <c r="P175" s="416"/>
      <c r="Q175" s="416"/>
      <c r="R175" s="416"/>
      <c r="S175" s="416"/>
    </row>
    <row r="176" spans="1:19" x14ac:dyDescent="0.25">
      <c r="A176" s="417"/>
      <c r="B176" s="421"/>
      <c r="C176" s="434" t="s">
        <v>541</v>
      </c>
      <c r="D176" s="431" t="s">
        <v>569</v>
      </c>
      <c r="E176" s="159">
        <v>133200000</v>
      </c>
      <c r="F176" s="159"/>
      <c r="G176" s="159">
        <v>131600000</v>
      </c>
      <c r="H176" s="422">
        <f t="shared" si="48"/>
        <v>1600000</v>
      </c>
      <c r="I176" s="159"/>
      <c r="J176" s="159"/>
      <c r="K176" s="159"/>
      <c r="L176" s="416">
        <f t="shared" si="49"/>
        <v>1600000</v>
      </c>
      <c r="M176" s="416">
        <f>+H176</f>
        <v>1600000</v>
      </c>
      <c r="N176" s="416"/>
      <c r="O176" s="416"/>
      <c r="P176" s="416"/>
      <c r="Q176" s="416"/>
      <c r="R176" s="416"/>
      <c r="S176" s="416"/>
    </row>
    <row r="177" spans="1:19" x14ac:dyDescent="0.25">
      <c r="A177" s="420">
        <v>4</v>
      </c>
      <c r="B177" s="156" t="s">
        <v>570</v>
      </c>
      <c r="C177" s="433">
        <v>1159591</v>
      </c>
      <c r="D177" s="431"/>
      <c r="E177" s="76">
        <f>+SUM(E178:E182)</f>
        <v>3756353000</v>
      </c>
      <c r="F177" s="76">
        <f t="shared" ref="F177:S177" si="50">+SUM(F178:F182)</f>
        <v>0</v>
      </c>
      <c r="G177" s="76">
        <f>+SUM(G178:G182)</f>
        <v>3282092596</v>
      </c>
      <c r="H177" s="76">
        <f t="shared" si="50"/>
        <v>474260404</v>
      </c>
      <c r="I177" s="76">
        <f t="shared" si="50"/>
        <v>0</v>
      </c>
      <c r="J177" s="76">
        <f t="shared" si="50"/>
        <v>0</v>
      </c>
      <c r="K177" s="76">
        <f t="shared" si="50"/>
        <v>0</v>
      </c>
      <c r="L177" s="76">
        <f t="shared" si="50"/>
        <v>474260404</v>
      </c>
      <c r="M177" s="76">
        <f t="shared" si="50"/>
        <v>441236889</v>
      </c>
      <c r="N177" s="76">
        <f t="shared" si="50"/>
        <v>8023515</v>
      </c>
      <c r="O177" s="76">
        <f t="shared" si="50"/>
        <v>0</v>
      </c>
      <c r="P177" s="76">
        <f t="shared" si="50"/>
        <v>25000000</v>
      </c>
      <c r="Q177" s="76">
        <f t="shared" si="50"/>
        <v>0</v>
      </c>
      <c r="R177" s="76">
        <f t="shared" si="50"/>
        <v>0</v>
      </c>
      <c r="S177" s="76">
        <f t="shared" si="50"/>
        <v>0</v>
      </c>
    </row>
    <row r="178" spans="1:19" x14ac:dyDescent="0.25">
      <c r="A178" s="417"/>
      <c r="B178" s="421"/>
      <c r="C178" s="434" t="s">
        <v>541</v>
      </c>
      <c r="D178" s="431" t="s">
        <v>553</v>
      </c>
      <c r="E178" s="159">
        <v>1506000000</v>
      </c>
      <c r="F178" s="159"/>
      <c r="G178" s="159">
        <v>1114763111</v>
      </c>
      <c r="H178" s="422">
        <f t="shared" si="42"/>
        <v>391236889</v>
      </c>
      <c r="I178" s="159"/>
      <c r="J178" s="159"/>
      <c r="K178" s="159"/>
      <c r="L178" s="416">
        <f t="shared" ref="L178:L183" si="51">SUM(M178:S178)</f>
        <v>391236889</v>
      </c>
      <c r="M178" s="159">
        <f>+H178</f>
        <v>391236889</v>
      </c>
      <c r="N178" s="159"/>
      <c r="O178" s="159"/>
      <c r="P178" s="159"/>
      <c r="Q178" s="159"/>
      <c r="R178" s="159"/>
      <c r="S178" s="159"/>
    </row>
    <row r="179" spans="1:19" x14ac:dyDescent="0.25">
      <c r="A179" s="417"/>
      <c r="B179" s="421"/>
      <c r="C179" s="434" t="s">
        <v>541</v>
      </c>
      <c r="D179" s="431" t="s">
        <v>559</v>
      </c>
      <c r="E179" s="159">
        <v>836000000</v>
      </c>
      <c r="F179" s="159"/>
      <c r="G179" s="159">
        <v>827976485</v>
      </c>
      <c r="H179" s="422">
        <f t="shared" si="42"/>
        <v>8023515</v>
      </c>
      <c r="I179" s="159"/>
      <c r="J179" s="159"/>
      <c r="K179" s="159"/>
      <c r="L179" s="416">
        <f t="shared" si="51"/>
        <v>8023515</v>
      </c>
      <c r="M179" s="159"/>
      <c r="N179" s="159">
        <f>+H179</f>
        <v>8023515</v>
      </c>
      <c r="O179" s="159"/>
      <c r="P179" s="159"/>
      <c r="Q179" s="159"/>
      <c r="R179" s="159"/>
      <c r="S179" s="159"/>
    </row>
    <row r="180" spans="1:19" x14ac:dyDescent="0.25">
      <c r="A180" s="417"/>
      <c r="B180" s="421"/>
      <c r="C180" s="434" t="s">
        <v>541</v>
      </c>
      <c r="D180" s="431" t="s">
        <v>571</v>
      </c>
      <c r="E180" s="159">
        <v>487050000</v>
      </c>
      <c r="F180" s="159"/>
      <c r="G180" s="159">
        <v>412050000</v>
      </c>
      <c r="H180" s="422">
        <f t="shared" si="42"/>
        <v>75000000</v>
      </c>
      <c r="I180" s="159"/>
      <c r="J180" s="159"/>
      <c r="K180" s="159"/>
      <c r="L180" s="416">
        <f t="shared" si="51"/>
        <v>75000000</v>
      </c>
      <c r="M180" s="159">
        <v>50000000</v>
      </c>
      <c r="N180" s="159"/>
      <c r="O180" s="159"/>
      <c r="P180" s="159">
        <v>25000000</v>
      </c>
      <c r="Q180" s="159"/>
      <c r="R180" s="159"/>
      <c r="S180" s="159"/>
    </row>
    <row r="181" spans="1:19" x14ac:dyDescent="0.25">
      <c r="A181" s="417"/>
      <c r="B181" s="417"/>
      <c r="C181" s="434" t="s">
        <v>541</v>
      </c>
      <c r="D181" s="431" t="s">
        <v>572</v>
      </c>
      <c r="E181" s="159">
        <v>86000000</v>
      </c>
      <c r="F181" s="159"/>
      <c r="G181" s="159">
        <v>86000000</v>
      </c>
      <c r="H181" s="422">
        <f t="shared" si="42"/>
        <v>0</v>
      </c>
      <c r="I181" s="159"/>
      <c r="J181" s="159"/>
      <c r="K181" s="159"/>
      <c r="L181" s="416">
        <f t="shared" si="51"/>
        <v>0</v>
      </c>
      <c r="M181" s="159"/>
      <c r="N181" s="159"/>
      <c r="O181" s="159"/>
      <c r="P181" s="159"/>
      <c r="Q181" s="159"/>
      <c r="R181" s="159"/>
      <c r="S181" s="159"/>
    </row>
    <row r="182" spans="1:19" x14ac:dyDescent="0.25">
      <c r="A182" s="417"/>
      <c r="B182" s="417"/>
      <c r="C182" s="434" t="s">
        <v>541</v>
      </c>
      <c r="D182" s="431" t="s">
        <v>563</v>
      </c>
      <c r="E182" s="159">
        <v>841303000</v>
      </c>
      <c r="F182" s="159"/>
      <c r="G182" s="159">
        <v>841303000</v>
      </c>
      <c r="H182" s="422">
        <f t="shared" si="42"/>
        <v>0</v>
      </c>
      <c r="I182" s="159"/>
      <c r="J182" s="159"/>
      <c r="K182" s="159"/>
      <c r="L182" s="416">
        <f t="shared" si="51"/>
        <v>0</v>
      </c>
      <c r="M182" s="159"/>
      <c r="N182" s="159"/>
      <c r="O182" s="159"/>
      <c r="P182" s="159"/>
      <c r="Q182" s="159"/>
      <c r="R182" s="159"/>
      <c r="S182" s="159"/>
    </row>
    <row r="183" spans="1:19" hidden="1" x14ac:dyDescent="0.25">
      <c r="A183" s="435">
        <v>5</v>
      </c>
      <c r="B183" s="435" t="s">
        <v>573</v>
      </c>
      <c r="C183" s="434" t="s">
        <v>827</v>
      </c>
      <c r="D183" s="435"/>
      <c r="E183" s="410">
        <v>4211495325</v>
      </c>
      <c r="F183" s="410"/>
      <c r="G183" s="410">
        <f>+E183</f>
        <v>4211495325</v>
      </c>
      <c r="H183" s="410">
        <f t="shared" si="42"/>
        <v>0</v>
      </c>
      <c r="I183" s="435"/>
      <c r="J183" s="435"/>
      <c r="K183" s="435"/>
      <c r="L183" s="419">
        <f t="shared" si="51"/>
        <v>0</v>
      </c>
      <c r="M183" s="436">
        <f>+H183</f>
        <v>0</v>
      </c>
      <c r="N183" s="435"/>
      <c r="O183" s="435"/>
      <c r="P183" s="435"/>
      <c r="Q183" s="435"/>
      <c r="R183" s="435"/>
      <c r="S183" s="435"/>
    </row>
    <row r="184" spans="1:19" hidden="1" x14ac:dyDescent="0.25">
      <c r="A184" s="435">
        <v>6</v>
      </c>
      <c r="B184" s="435" t="s">
        <v>574</v>
      </c>
      <c r="C184" s="434" t="s">
        <v>828</v>
      </c>
      <c r="D184" s="437"/>
      <c r="E184" s="76">
        <v>50000000</v>
      </c>
      <c r="F184" s="76"/>
      <c r="G184" s="76">
        <v>50000000</v>
      </c>
      <c r="H184" s="76">
        <f t="shared" si="42"/>
        <v>0</v>
      </c>
      <c r="I184" s="76"/>
      <c r="J184" s="76"/>
      <c r="K184" s="76"/>
      <c r="L184" s="76"/>
      <c r="M184" s="76"/>
      <c r="N184" s="76"/>
      <c r="O184" s="76"/>
      <c r="P184" s="76"/>
      <c r="Q184" s="76"/>
      <c r="R184" s="76"/>
      <c r="S184" s="76"/>
    </row>
    <row r="185" spans="1:19" hidden="1" x14ac:dyDescent="0.25">
      <c r="A185" s="435">
        <v>7</v>
      </c>
      <c r="B185" s="435" t="s">
        <v>575</v>
      </c>
      <c r="C185" s="434" t="s">
        <v>829</v>
      </c>
      <c r="D185" s="437"/>
      <c r="E185" s="76">
        <v>30000000</v>
      </c>
      <c r="F185" s="76"/>
      <c r="G185" s="76">
        <v>30000000</v>
      </c>
      <c r="H185" s="76">
        <f t="shared" si="42"/>
        <v>0</v>
      </c>
      <c r="I185" s="76"/>
      <c r="J185" s="76"/>
      <c r="K185" s="76"/>
      <c r="L185" s="76"/>
      <c r="M185" s="76"/>
      <c r="N185" s="76"/>
      <c r="O185" s="76"/>
      <c r="P185" s="76"/>
      <c r="Q185" s="76"/>
      <c r="R185" s="76"/>
      <c r="S185" s="76"/>
    </row>
    <row r="186" spans="1:19" hidden="1" x14ac:dyDescent="0.25">
      <c r="A186" s="435">
        <v>8</v>
      </c>
      <c r="B186" s="435" t="s">
        <v>576</v>
      </c>
      <c r="C186" s="434" t="s">
        <v>830</v>
      </c>
      <c r="D186" s="437"/>
      <c r="E186" s="76">
        <v>205000000</v>
      </c>
      <c r="F186" s="76"/>
      <c r="G186" s="76">
        <v>205000000</v>
      </c>
      <c r="H186" s="76">
        <f t="shared" si="42"/>
        <v>0</v>
      </c>
      <c r="I186" s="76"/>
      <c r="J186" s="76"/>
      <c r="K186" s="76"/>
      <c r="L186" s="76"/>
      <c r="M186" s="76"/>
      <c r="N186" s="76"/>
      <c r="O186" s="76"/>
      <c r="P186" s="76"/>
      <c r="Q186" s="76"/>
      <c r="R186" s="76"/>
      <c r="S186" s="76"/>
    </row>
    <row r="187" spans="1:19" s="78" customFormat="1" x14ac:dyDescent="0.25">
      <c r="A187" s="435">
        <v>5</v>
      </c>
      <c r="B187" s="156" t="s">
        <v>573</v>
      </c>
      <c r="C187" s="437">
        <v>1159975</v>
      </c>
      <c r="D187" s="223"/>
      <c r="E187" s="410">
        <v>5163000000</v>
      </c>
      <c r="F187" s="223"/>
      <c r="G187" s="410">
        <v>4211495325</v>
      </c>
      <c r="H187" s="410">
        <f>+E187-G187</f>
        <v>951504675</v>
      </c>
      <c r="I187" s="410"/>
      <c r="J187" s="410"/>
      <c r="K187" s="410"/>
      <c r="L187" s="410"/>
      <c r="M187" s="410">
        <f>+H187</f>
        <v>951504675</v>
      </c>
      <c r="N187" s="410"/>
      <c r="O187" s="410"/>
      <c r="P187" s="410"/>
      <c r="Q187" s="223"/>
      <c r="R187" s="223"/>
      <c r="S187" s="223"/>
    </row>
  </sheetData>
  <mergeCells count="14">
    <mergeCell ref="A2:S2"/>
    <mergeCell ref="A3:S3"/>
    <mergeCell ref="A5:A6"/>
    <mergeCell ref="B5:B6"/>
    <mergeCell ref="C5:C6"/>
    <mergeCell ref="D5:D6"/>
    <mergeCell ref="E5:E6"/>
    <mergeCell ref="F5:F6"/>
    <mergeCell ref="G5:G6"/>
    <mergeCell ref="H5:H6"/>
    <mergeCell ref="I5:I6"/>
    <mergeCell ref="J5:J6"/>
    <mergeCell ref="K5:K6"/>
    <mergeCell ref="L5:S5"/>
  </mergeCells>
  <phoneticPr fontId="21" type="noConversion"/>
  <conditionalFormatting sqref="B39">
    <cfRule type="colorScale" priority="5">
      <colorScale>
        <cfvo type="min"/>
        <cfvo type="max"/>
        <color theme="0"/>
        <color rgb="FFFFEF9C"/>
      </colorScale>
    </cfRule>
  </conditionalFormatting>
  <conditionalFormatting sqref="B45">
    <cfRule type="colorScale" priority="4">
      <colorScale>
        <cfvo type="min"/>
        <cfvo type="max"/>
        <color theme="0"/>
        <color rgb="FFFFEF9C"/>
      </colorScale>
    </cfRule>
  </conditionalFormatting>
  <conditionalFormatting sqref="B49">
    <cfRule type="colorScale" priority="7">
      <colorScale>
        <cfvo type="min"/>
        <cfvo type="max"/>
        <color theme="0"/>
        <color rgb="FFFFEF9C"/>
      </colorScale>
    </cfRule>
  </conditionalFormatting>
  <conditionalFormatting sqref="B62">
    <cfRule type="colorScale" priority="3">
      <colorScale>
        <cfvo type="min"/>
        <cfvo type="max"/>
        <color theme="0"/>
        <color rgb="FFFFEF9C"/>
      </colorScale>
    </cfRule>
  </conditionalFormatting>
  <conditionalFormatting sqref="B65">
    <cfRule type="colorScale" priority="2">
      <colorScale>
        <cfvo type="min"/>
        <cfvo type="max"/>
        <color theme="0"/>
        <color rgb="FFFFEF9C"/>
      </colorScale>
    </cfRule>
  </conditionalFormatting>
  <conditionalFormatting sqref="B67:B124 B50:B52 B11:B27">
    <cfRule type="colorScale" priority="10">
      <colorScale>
        <cfvo type="min"/>
        <cfvo type="max"/>
        <color theme="0"/>
        <color rgb="FFFFEF9C"/>
      </colorScale>
    </cfRule>
  </conditionalFormatting>
  <conditionalFormatting sqref="B84:B88">
    <cfRule type="duplicateValues" dxfId="14" priority="6"/>
  </conditionalFormatting>
  <conditionalFormatting sqref="B130:B180">
    <cfRule type="colorScale" priority="8">
      <colorScale>
        <cfvo type="min"/>
        <cfvo type="max"/>
        <color theme="0"/>
        <color rgb="FFFFEF9C"/>
      </colorScale>
    </cfRule>
  </conditionalFormatting>
  <conditionalFormatting sqref="B183:B186">
    <cfRule type="duplicateValues" dxfId="13" priority="15"/>
  </conditionalFormatting>
  <conditionalFormatting sqref="B187">
    <cfRule type="colorScale" priority="1">
      <colorScale>
        <cfvo type="min"/>
        <cfvo type="max"/>
        <color theme="0"/>
        <color rgb="FFFFEF9C"/>
      </colorScale>
    </cfRule>
  </conditionalFormatting>
  <pageMargins left="0.7" right="0.55000000000000004" top="0.46" bottom="0.37" header="0.3" footer="0.3"/>
  <pageSetup paperSize="9" scale="80" orientation="landscape"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C63A0-5705-49AF-89F9-5B23B8DA2654}">
  <dimension ref="A1:L72"/>
  <sheetViews>
    <sheetView view="pageBreakPreview" zoomScale="87" zoomScaleNormal="100" zoomScaleSheetLayoutView="87" workbookViewId="0">
      <selection activeCell="D39" sqref="D39"/>
    </sheetView>
  </sheetViews>
  <sheetFormatPr defaultRowHeight="15.75" x14ac:dyDescent="0.25"/>
  <cols>
    <col min="1" max="1" width="4.75" customWidth="1"/>
    <col min="2" max="2" width="0" hidden="1" customWidth="1"/>
    <col min="3" max="3" width="25" customWidth="1"/>
    <col min="4" max="6" width="0" hidden="1" customWidth="1"/>
    <col min="7" max="7" width="13.875" customWidth="1"/>
    <col min="8" max="8" width="18.125" customWidth="1"/>
    <col min="9" max="9" width="11.625" customWidth="1"/>
    <col min="10" max="10" width="13.625" customWidth="1"/>
    <col min="11" max="11" width="14.875" customWidth="1"/>
    <col min="12" max="12" width="16.875" bestFit="1" customWidth="1"/>
  </cols>
  <sheetData>
    <row r="1" spans="1:12" x14ac:dyDescent="0.25">
      <c r="A1" s="165"/>
      <c r="B1" s="165"/>
      <c r="C1" s="166"/>
      <c r="D1" s="165"/>
      <c r="E1" s="165"/>
      <c r="F1" s="167"/>
      <c r="G1" s="167"/>
      <c r="H1" s="165"/>
      <c r="I1" s="165"/>
      <c r="J1" s="165"/>
      <c r="K1" s="204" t="s">
        <v>642</v>
      </c>
    </row>
    <row r="2" spans="1:12" x14ac:dyDescent="0.25">
      <c r="A2" s="471" t="s">
        <v>643</v>
      </c>
      <c r="B2" s="471"/>
      <c r="C2" s="471"/>
      <c r="D2" s="471"/>
      <c r="E2" s="471"/>
      <c r="F2" s="471"/>
      <c r="G2" s="471"/>
      <c r="H2" s="471"/>
      <c r="I2" s="471"/>
      <c r="J2" s="471"/>
      <c r="K2" s="471"/>
    </row>
    <row r="3" spans="1:12" x14ac:dyDescent="0.25">
      <c r="A3" s="472" t="str">
        <f>+'Biểu Thu '!A5:E5</f>
        <v>(Kèm theo Nghị quyết số    /NQ- HĐND ngày     tháng 7 năm 2026 của HĐND xã Lùng Phình)</v>
      </c>
      <c r="B3" s="472"/>
      <c r="C3" s="472"/>
      <c r="D3" s="472"/>
      <c r="E3" s="472"/>
      <c r="F3" s="472"/>
      <c r="G3" s="472"/>
      <c r="H3" s="472"/>
      <c r="I3" s="472"/>
      <c r="J3" s="472"/>
      <c r="K3" s="472"/>
    </row>
    <row r="4" spans="1:12" x14ac:dyDescent="0.25">
      <c r="A4" s="165"/>
      <c r="B4" s="165"/>
      <c r="C4" s="166"/>
      <c r="D4" s="165"/>
      <c r="E4" s="165"/>
      <c r="F4" s="167"/>
      <c r="G4" s="167"/>
      <c r="H4" s="165"/>
      <c r="I4" s="165"/>
      <c r="J4" s="168"/>
      <c r="K4" s="168" t="s">
        <v>437</v>
      </c>
    </row>
    <row r="5" spans="1:12" ht="27" customHeight="1" x14ac:dyDescent="0.25">
      <c r="A5" s="473" t="s">
        <v>1</v>
      </c>
      <c r="B5" s="473" t="s">
        <v>578</v>
      </c>
      <c r="C5" s="473" t="s">
        <v>577</v>
      </c>
      <c r="D5" s="473" t="s">
        <v>625</v>
      </c>
      <c r="E5" s="473" t="s">
        <v>626</v>
      </c>
      <c r="F5" s="469" t="s">
        <v>579</v>
      </c>
      <c r="G5" s="473" t="s">
        <v>627</v>
      </c>
      <c r="H5" s="473"/>
      <c r="I5" s="469" t="s">
        <v>628</v>
      </c>
      <c r="J5" s="469" t="s">
        <v>629</v>
      </c>
      <c r="K5" s="468" t="s">
        <v>443</v>
      </c>
    </row>
    <row r="6" spans="1:12" x14ac:dyDescent="0.25">
      <c r="A6" s="473"/>
      <c r="B6" s="473"/>
      <c r="C6" s="473"/>
      <c r="D6" s="473"/>
      <c r="E6" s="473"/>
      <c r="F6" s="474"/>
      <c r="G6" s="169" t="s">
        <v>630</v>
      </c>
      <c r="H6" s="169" t="s">
        <v>580</v>
      </c>
      <c r="I6" s="474"/>
      <c r="J6" s="470"/>
      <c r="K6" s="468"/>
    </row>
    <row r="7" spans="1:12" x14ac:dyDescent="0.25">
      <c r="A7" s="170">
        <v>1</v>
      </c>
      <c r="B7" s="170"/>
      <c r="C7" s="170">
        <v>2</v>
      </c>
      <c r="D7" s="170">
        <v>3</v>
      </c>
      <c r="E7" s="170">
        <v>4</v>
      </c>
      <c r="F7" s="170">
        <v>10</v>
      </c>
      <c r="G7" s="170">
        <v>3</v>
      </c>
      <c r="H7" s="170">
        <v>4</v>
      </c>
      <c r="I7" s="170"/>
      <c r="J7" s="170">
        <v>5</v>
      </c>
      <c r="K7" s="170" t="s">
        <v>631</v>
      </c>
    </row>
    <row r="8" spans="1:12" ht="25.5" x14ac:dyDescent="0.25">
      <c r="A8" s="156" t="s">
        <v>130</v>
      </c>
      <c r="B8" s="156" t="s">
        <v>392</v>
      </c>
      <c r="C8" s="156" t="s">
        <v>392</v>
      </c>
      <c r="D8" s="156" t="s">
        <v>392</v>
      </c>
      <c r="E8" s="156" t="s">
        <v>392</v>
      </c>
      <c r="F8" s="171" t="e">
        <f>F9+F15+F22+#REF!+#REF!+#REF!+#REF!+#REF!+#REF!+#REF!</f>
        <v>#REF!</v>
      </c>
      <c r="G8" s="172">
        <f>+G9+G12+G41+G62+G71</f>
        <v>8106835759</v>
      </c>
      <c r="H8" s="172">
        <f>+H9+H12+H41+H62+H71</f>
        <v>8293140200</v>
      </c>
      <c r="I8" s="172">
        <f>+I9+I12+I41+I62+I71</f>
        <v>303536024</v>
      </c>
      <c r="J8" s="172">
        <f>+J9+J12+J41+J62+J71</f>
        <v>1925700000</v>
      </c>
      <c r="K8" s="172">
        <f>+K9+K12+K41+K62+K71</f>
        <v>18629211983</v>
      </c>
      <c r="L8" s="236">
        <f>+K8-I8-H8</f>
        <v>10032535759</v>
      </c>
    </row>
    <row r="9" spans="1:12" ht="43.5" customHeight="1" x14ac:dyDescent="0.25">
      <c r="A9" s="156" t="s">
        <v>2</v>
      </c>
      <c r="B9" s="156" t="s">
        <v>581</v>
      </c>
      <c r="C9" s="156" t="s">
        <v>581</v>
      </c>
      <c r="D9" s="156" t="s">
        <v>581</v>
      </c>
      <c r="E9" s="156" t="s">
        <v>581</v>
      </c>
      <c r="F9" s="173">
        <f>SUM(F10:F14)</f>
        <v>7800000</v>
      </c>
      <c r="G9" s="174">
        <f>+SUM(G10:G11)</f>
        <v>0</v>
      </c>
      <c r="H9" s="174">
        <f>+SUM(H10:H11)</f>
        <v>670031400</v>
      </c>
      <c r="I9" s="174">
        <f>+SUM(I10:I11)</f>
        <v>144273000</v>
      </c>
      <c r="J9" s="174">
        <f>+SUM(J10:J11)</f>
        <v>0</v>
      </c>
      <c r="K9" s="174">
        <f>+SUM(K10:K11)</f>
        <v>814304400</v>
      </c>
      <c r="L9" s="236">
        <f>+L8-J39</f>
        <v>9742535759</v>
      </c>
    </row>
    <row r="10" spans="1:12" ht="43.5" customHeight="1" x14ac:dyDescent="0.25">
      <c r="A10" s="163">
        <v>1</v>
      </c>
      <c r="B10" s="163" t="s">
        <v>582</v>
      </c>
      <c r="C10" s="163" t="s">
        <v>582</v>
      </c>
      <c r="D10" s="163" t="s">
        <v>582</v>
      </c>
      <c r="E10" s="163" t="s">
        <v>582</v>
      </c>
      <c r="F10" s="175">
        <v>7000000</v>
      </c>
      <c r="G10" s="176">
        <v>0</v>
      </c>
      <c r="H10" s="177"/>
      <c r="I10" s="177">
        <v>8273000</v>
      </c>
      <c r="J10" s="177"/>
      <c r="K10" s="177">
        <f>+G10+H10+I10+J10</f>
        <v>8273000</v>
      </c>
      <c r="L10" s="236">
        <v>10032.5</v>
      </c>
    </row>
    <row r="11" spans="1:12" ht="43.5" customHeight="1" x14ac:dyDescent="0.25">
      <c r="A11" s="163">
        <v>2</v>
      </c>
      <c r="B11" s="163" t="s">
        <v>632</v>
      </c>
      <c r="C11" s="163" t="s">
        <v>632</v>
      </c>
      <c r="D11" s="163" t="s">
        <v>632</v>
      </c>
      <c r="E11" s="163" t="s">
        <v>632</v>
      </c>
      <c r="F11" s="175"/>
      <c r="G11" s="176">
        <v>0</v>
      </c>
      <c r="H11" s="177">
        <v>670031400</v>
      </c>
      <c r="I11" s="177">
        <v>136000000</v>
      </c>
      <c r="J11" s="175"/>
      <c r="K11" s="177">
        <f>+G11+H11+I11+J11</f>
        <v>806031400</v>
      </c>
      <c r="L11" s="237">
        <v>8521</v>
      </c>
    </row>
    <row r="12" spans="1:12" ht="43.5" customHeight="1" x14ac:dyDescent="0.25">
      <c r="A12" s="156" t="s">
        <v>3</v>
      </c>
      <c r="B12" s="156" t="s">
        <v>583</v>
      </c>
      <c r="C12" s="156" t="s">
        <v>583</v>
      </c>
      <c r="D12" s="156" t="s">
        <v>583</v>
      </c>
      <c r="E12" s="156" t="s">
        <v>583</v>
      </c>
      <c r="F12" s="178"/>
      <c r="G12" s="179">
        <f>+SUM(G13:G40)</f>
        <v>1713625520</v>
      </c>
      <c r="H12" s="179">
        <f>+SUM(H13:H40)</f>
        <v>6376832800</v>
      </c>
      <c r="I12" s="179">
        <f>+SUM(I13:I40)</f>
        <v>158192980</v>
      </c>
      <c r="J12" s="179">
        <f>+SUM(J13:J40)</f>
        <v>498000000</v>
      </c>
      <c r="K12" s="179">
        <f>+SUM(K13:K40)</f>
        <v>8746651300</v>
      </c>
      <c r="L12" s="236">
        <f>+K12-I12-H12</f>
        <v>2211625520</v>
      </c>
    </row>
    <row r="13" spans="1:12" ht="43.5" customHeight="1" x14ac:dyDescent="0.25">
      <c r="A13" s="163">
        <v>2</v>
      </c>
      <c r="B13" s="163" t="s">
        <v>632</v>
      </c>
      <c r="C13" s="163" t="s">
        <v>632</v>
      </c>
      <c r="D13" s="163" t="s">
        <v>632</v>
      </c>
      <c r="E13" s="163" t="s">
        <v>632</v>
      </c>
      <c r="F13" s="175"/>
      <c r="G13" s="176">
        <v>200000000</v>
      </c>
      <c r="H13" s="171"/>
      <c r="I13" s="171">
        <v>0</v>
      </c>
      <c r="J13" s="175"/>
      <c r="K13" s="175">
        <f>+G13+H13+J13+I13</f>
        <v>200000000</v>
      </c>
    </row>
    <row r="14" spans="1:12" ht="43.5" customHeight="1" x14ac:dyDescent="0.25">
      <c r="A14" s="164">
        <v>1</v>
      </c>
      <c r="B14" s="164" t="s">
        <v>584</v>
      </c>
      <c r="C14" s="164" t="s">
        <v>584</v>
      </c>
      <c r="D14" s="164" t="s">
        <v>584</v>
      </c>
      <c r="E14" s="164" t="s">
        <v>584</v>
      </c>
      <c r="F14" s="180">
        <v>800000</v>
      </c>
      <c r="G14" s="181">
        <v>0</v>
      </c>
      <c r="H14" s="182"/>
      <c r="I14" s="181">
        <v>2000000</v>
      </c>
      <c r="J14" s="182"/>
      <c r="K14" s="175">
        <f t="shared" ref="K14:K28" si="0">+G14+H14+J14+I14</f>
        <v>2000000</v>
      </c>
    </row>
    <row r="15" spans="1:12" ht="43.5" customHeight="1" x14ac:dyDescent="0.25">
      <c r="A15" s="164">
        <v>2</v>
      </c>
      <c r="B15" s="164" t="s">
        <v>585</v>
      </c>
      <c r="C15" s="164" t="s">
        <v>585</v>
      </c>
      <c r="D15" s="164" t="s">
        <v>585</v>
      </c>
      <c r="E15" s="164" t="s">
        <v>585</v>
      </c>
      <c r="F15" s="183">
        <f>SUM(F16:F21)</f>
        <v>0</v>
      </c>
      <c r="G15" s="184">
        <v>0</v>
      </c>
      <c r="H15" s="183"/>
      <c r="I15" s="184">
        <v>6000000</v>
      </c>
      <c r="J15" s="183">
        <f>SUM(J16:J21)</f>
        <v>0</v>
      </c>
      <c r="K15" s="175">
        <f t="shared" si="0"/>
        <v>6000000</v>
      </c>
    </row>
    <row r="16" spans="1:12" ht="43.5" customHeight="1" x14ac:dyDescent="0.25">
      <c r="A16" s="164">
        <v>3</v>
      </c>
      <c r="B16" s="164" t="s">
        <v>586</v>
      </c>
      <c r="C16" s="164" t="s">
        <v>586</v>
      </c>
      <c r="D16" s="164" t="s">
        <v>586</v>
      </c>
      <c r="E16" s="164" t="s">
        <v>586</v>
      </c>
      <c r="F16" s="180"/>
      <c r="G16" s="181">
        <v>0</v>
      </c>
      <c r="H16" s="182"/>
      <c r="I16" s="181">
        <v>3000000</v>
      </c>
      <c r="J16" s="182"/>
      <c r="K16" s="175">
        <f t="shared" si="0"/>
        <v>3000000</v>
      </c>
    </row>
    <row r="17" spans="1:11" ht="43.5" customHeight="1" x14ac:dyDescent="0.25">
      <c r="A17" s="164">
        <v>4</v>
      </c>
      <c r="B17" s="164" t="s">
        <v>587</v>
      </c>
      <c r="C17" s="164" t="s">
        <v>587</v>
      </c>
      <c r="D17" s="164" t="s">
        <v>587</v>
      </c>
      <c r="E17" s="164" t="s">
        <v>587</v>
      </c>
      <c r="F17" s="180"/>
      <c r="G17" s="181"/>
      <c r="H17" s="180"/>
      <c r="I17" s="181">
        <v>4267022</v>
      </c>
      <c r="J17" s="180"/>
      <c r="K17" s="175">
        <f t="shared" si="0"/>
        <v>4267022</v>
      </c>
    </row>
    <row r="18" spans="1:11" ht="43.5" customHeight="1" x14ac:dyDescent="0.25">
      <c r="A18" s="164">
        <v>5</v>
      </c>
      <c r="B18" s="164" t="s">
        <v>588</v>
      </c>
      <c r="C18" s="164" t="s">
        <v>588</v>
      </c>
      <c r="D18" s="164" t="s">
        <v>588</v>
      </c>
      <c r="E18" s="164" t="s">
        <v>588</v>
      </c>
      <c r="F18" s="180"/>
      <c r="G18" s="181"/>
      <c r="H18" s="182"/>
      <c r="I18" s="181">
        <v>97782393</v>
      </c>
      <c r="J18" s="180"/>
      <c r="K18" s="175">
        <f t="shared" si="0"/>
        <v>97782393</v>
      </c>
    </row>
    <row r="19" spans="1:11" ht="43.5" customHeight="1" x14ac:dyDescent="0.25">
      <c r="A19" s="164">
        <v>6</v>
      </c>
      <c r="B19" s="164" t="s">
        <v>589</v>
      </c>
      <c r="C19" s="164" t="s">
        <v>589</v>
      </c>
      <c r="D19" s="164" t="s">
        <v>589</v>
      </c>
      <c r="E19" s="164" t="s">
        <v>589</v>
      </c>
      <c r="F19" s="180"/>
      <c r="G19" s="181"/>
      <c r="H19" s="182"/>
      <c r="I19" s="181">
        <v>1292690</v>
      </c>
      <c r="J19" s="185"/>
      <c r="K19" s="175">
        <f t="shared" si="0"/>
        <v>1292690</v>
      </c>
    </row>
    <row r="20" spans="1:11" ht="43.5" customHeight="1" x14ac:dyDescent="0.25">
      <c r="A20" s="164">
        <v>7</v>
      </c>
      <c r="B20" s="164" t="s">
        <v>590</v>
      </c>
      <c r="C20" s="164" t="s">
        <v>590</v>
      </c>
      <c r="D20" s="164" t="s">
        <v>590</v>
      </c>
      <c r="E20" s="164" t="s">
        <v>590</v>
      </c>
      <c r="F20" s="180"/>
      <c r="G20" s="181"/>
      <c r="H20" s="182"/>
      <c r="I20" s="181">
        <v>2767547</v>
      </c>
      <c r="J20" s="180"/>
      <c r="K20" s="175">
        <f t="shared" si="0"/>
        <v>2767547</v>
      </c>
    </row>
    <row r="21" spans="1:11" ht="43.5" customHeight="1" x14ac:dyDescent="0.25">
      <c r="A21" s="164">
        <v>8</v>
      </c>
      <c r="B21" s="164" t="s">
        <v>591</v>
      </c>
      <c r="C21" s="164" t="s">
        <v>591</v>
      </c>
      <c r="D21" s="164" t="s">
        <v>591</v>
      </c>
      <c r="E21" s="164" t="s">
        <v>591</v>
      </c>
      <c r="F21" s="180"/>
      <c r="G21" s="181"/>
      <c r="H21" s="182"/>
      <c r="I21" s="181">
        <v>2650000</v>
      </c>
      <c r="J21" s="180"/>
      <c r="K21" s="175">
        <f t="shared" si="0"/>
        <v>2650000</v>
      </c>
    </row>
    <row r="22" spans="1:11" ht="43.5" customHeight="1" x14ac:dyDescent="0.25">
      <c r="A22" s="164">
        <v>9</v>
      </c>
      <c r="B22" s="164" t="s">
        <v>592</v>
      </c>
      <c r="C22" s="164" t="s">
        <v>592</v>
      </c>
      <c r="D22" s="164" t="s">
        <v>592</v>
      </c>
      <c r="E22" s="164" t="s">
        <v>592</v>
      </c>
      <c r="F22" s="183" t="e">
        <f>F23+F33+#REF!</f>
        <v>#REF!</v>
      </c>
      <c r="G22" s="184"/>
      <c r="H22" s="183"/>
      <c r="I22" s="184">
        <v>3059500</v>
      </c>
      <c r="J22" s="183">
        <v>0</v>
      </c>
      <c r="K22" s="175">
        <f t="shared" si="0"/>
        <v>3059500</v>
      </c>
    </row>
    <row r="23" spans="1:11" ht="43.5" customHeight="1" x14ac:dyDescent="0.25">
      <c r="A23" s="164">
        <v>10</v>
      </c>
      <c r="B23" s="164" t="s">
        <v>593</v>
      </c>
      <c r="C23" s="164" t="s">
        <v>593</v>
      </c>
      <c r="D23" s="164" t="s">
        <v>593</v>
      </c>
      <c r="E23" s="164" t="s">
        <v>593</v>
      </c>
      <c r="F23" s="186">
        <f>+F47+F27+F28</f>
        <v>7913000</v>
      </c>
      <c r="G23" s="187"/>
      <c r="H23" s="186"/>
      <c r="I23" s="187">
        <v>1472839</v>
      </c>
      <c r="J23" s="186">
        <f>+J47+J27+J28</f>
        <v>0</v>
      </c>
      <c r="K23" s="175">
        <f t="shared" si="0"/>
        <v>1472839</v>
      </c>
    </row>
    <row r="24" spans="1:11" ht="43.5" customHeight="1" x14ac:dyDescent="0.25">
      <c r="A24" s="164">
        <v>13</v>
      </c>
      <c r="B24" s="164" t="s">
        <v>594</v>
      </c>
      <c r="C24" s="164" t="s">
        <v>594</v>
      </c>
      <c r="D24" s="164" t="s">
        <v>594</v>
      </c>
      <c r="E24" s="164" t="s">
        <v>594</v>
      </c>
      <c r="F24" s="185">
        <v>368000</v>
      </c>
      <c r="G24" s="181">
        <v>0</v>
      </c>
      <c r="H24" s="182"/>
      <c r="I24" s="181">
        <v>9419358</v>
      </c>
      <c r="J24" s="182"/>
      <c r="K24" s="175">
        <f t="shared" si="0"/>
        <v>9419358</v>
      </c>
    </row>
    <row r="25" spans="1:11" ht="43.5" customHeight="1" x14ac:dyDescent="0.25">
      <c r="A25" s="164">
        <v>14</v>
      </c>
      <c r="B25" s="164" t="s">
        <v>595</v>
      </c>
      <c r="C25" s="164" t="s">
        <v>595</v>
      </c>
      <c r="D25" s="164" t="s">
        <v>595</v>
      </c>
      <c r="E25" s="164" t="s">
        <v>595</v>
      </c>
      <c r="F25" s="185">
        <v>6722000</v>
      </c>
      <c r="G25" s="181">
        <v>0</v>
      </c>
      <c r="H25" s="182"/>
      <c r="I25" s="181">
        <v>5241066</v>
      </c>
      <c r="J25" s="182"/>
      <c r="K25" s="175">
        <f t="shared" si="0"/>
        <v>5241066</v>
      </c>
    </row>
    <row r="26" spans="1:11" ht="43.5" customHeight="1" x14ac:dyDescent="0.25">
      <c r="A26" s="164">
        <v>15</v>
      </c>
      <c r="B26" s="164" t="s">
        <v>596</v>
      </c>
      <c r="C26" s="164" t="s">
        <v>596</v>
      </c>
      <c r="D26" s="164" t="s">
        <v>596</v>
      </c>
      <c r="E26" s="164" t="s">
        <v>596</v>
      </c>
      <c r="F26" s="185">
        <v>823000</v>
      </c>
      <c r="G26" s="181">
        <v>0</v>
      </c>
      <c r="H26" s="182"/>
      <c r="I26" s="181">
        <v>6295125</v>
      </c>
      <c r="J26" s="182"/>
      <c r="K26" s="175">
        <f t="shared" si="0"/>
        <v>6295125</v>
      </c>
    </row>
    <row r="27" spans="1:11" ht="43.5" customHeight="1" x14ac:dyDescent="0.25">
      <c r="A27" s="164">
        <v>16</v>
      </c>
      <c r="B27" s="164" t="s">
        <v>597</v>
      </c>
      <c r="C27" s="164" t="s">
        <v>597</v>
      </c>
      <c r="D27" s="164" t="s">
        <v>597</v>
      </c>
      <c r="E27" s="164" t="s">
        <v>597</v>
      </c>
      <c r="F27" s="180"/>
      <c r="G27" s="181">
        <v>0</v>
      </c>
      <c r="H27" s="182"/>
      <c r="I27" s="181">
        <v>12945440</v>
      </c>
      <c r="J27" s="182"/>
      <c r="K27" s="175">
        <f t="shared" si="0"/>
        <v>12945440</v>
      </c>
    </row>
    <row r="28" spans="1:11" ht="43.5" customHeight="1" x14ac:dyDescent="0.25">
      <c r="A28" s="164">
        <v>17</v>
      </c>
      <c r="B28" s="163" t="s">
        <v>598</v>
      </c>
      <c r="C28" s="163" t="s">
        <v>598</v>
      </c>
      <c r="D28" s="163" t="s">
        <v>598</v>
      </c>
      <c r="E28" s="163" t="s">
        <v>598</v>
      </c>
      <c r="F28" s="186">
        <f>SUM(F29:F32)</f>
        <v>0</v>
      </c>
      <c r="G28" s="187">
        <v>7613425</v>
      </c>
      <c r="H28" s="186"/>
      <c r="I28" s="186"/>
      <c r="J28" s="186">
        <f>SUM(J29:J32)</f>
        <v>0</v>
      </c>
      <c r="K28" s="175">
        <f t="shared" si="0"/>
        <v>7613425</v>
      </c>
    </row>
    <row r="29" spans="1:11" ht="43.5" customHeight="1" x14ac:dyDescent="0.25">
      <c r="A29" s="164">
        <v>18</v>
      </c>
      <c r="B29" s="163" t="s">
        <v>600</v>
      </c>
      <c r="C29" s="163" t="s">
        <v>600</v>
      </c>
      <c r="D29" s="163" t="s">
        <v>600</v>
      </c>
      <c r="E29" s="163" t="s">
        <v>600</v>
      </c>
      <c r="F29" s="180"/>
      <c r="G29" s="181">
        <v>18816000</v>
      </c>
      <c r="H29" s="188"/>
      <c r="I29" s="188"/>
      <c r="J29" s="182"/>
      <c r="K29" s="182">
        <f t="shared" ref="K29:K72" si="1">+G29+H29+J29</f>
        <v>18816000</v>
      </c>
    </row>
    <row r="30" spans="1:11" ht="43.5" customHeight="1" x14ac:dyDescent="0.25">
      <c r="A30" s="164">
        <v>19</v>
      </c>
      <c r="B30" s="163" t="s">
        <v>601</v>
      </c>
      <c r="C30" s="163" t="s">
        <v>601</v>
      </c>
      <c r="D30" s="163" t="s">
        <v>601</v>
      </c>
      <c r="E30" s="163" t="s">
        <v>601</v>
      </c>
      <c r="F30" s="185"/>
      <c r="G30" s="181">
        <v>240368000</v>
      </c>
      <c r="H30" s="180"/>
      <c r="I30" s="180"/>
      <c r="J30" s="182"/>
      <c r="K30" s="182">
        <f t="shared" si="1"/>
        <v>240368000</v>
      </c>
    </row>
    <row r="31" spans="1:11" ht="43.5" customHeight="1" x14ac:dyDescent="0.25">
      <c r="A31" s="164">
        <v>20</v>
      </c>
      <c r="B31" s="164" t="s">
        <v>602</v>
      </c>
      <c r="C31" s="164" t="s">
        <v>602</v>
      </c>
      <c r="D31" s="164" t="s">
        <v>602</v>
      </c>
      <c r="E31" s="164" t="s">
        <v>602</v>
      </c>
      <c r="F31" s="180"/>
      <c r="G31" s="181">
        <v>140440000</v>
      </c>
      <c r="H31" s="180"/>
      <c r="I31" s="180"/>
      <c r="J31" s="182"/>
      <c r="K31" s="182">
        <f t="shared" si="1"/>
        <v>140440000</v>
      </c>
    </row>
    <row r="32" spans="1:11" ht="43.5" customHeight="1" x14ac:dyDescent="0.25">
      <c r="A32" s="164">
        <v>21</v>
      </c>
      <c r="B32" s="163" t="s">
        <v>603</v>
      </c>
      <c r="C32" s="163" t="s">
        <v>603</v>
      </c>
      <c r="D32" s="163" t="s">
        <v>603</v>
      </c>
      <c r="E32" s="163" t="s">
        <v>603</v>
      </c>
      <c r="F32" s="180"/>
      <c r="G32" s="181">
        <v>785520000</v>
      </c>
      <c r="H32" s="180"/>
      <c r="I32" s="180"/>
      <c r="J32" s="182"/>
      <c r="K32" s="182">
        <f t="shared" si="1"/>
        <v>785520000</v>
      </c>
    </row>
    <row r="33" spans="1:12" ht="43.5" customHeight="1" x14ac:dyDescent="0.25">
      <c r="A33" s="164">
        <v>22</v>
      </c>
      <c r="B33" s="163" t="s">
        <v>604</v>
      </c>
      <c r="C33" s="163" t="s">
        <v>604</v>
      </c>
      <c r="D33" s="163" t="s">
        <v>604</v>
      </c>
      <c r="E33" s="163" t="s">
        <v>604</v>
      </c>
      <c r="F33" s="186">
        <f>+F34+F36+F42</f>
        <v>557913000</v>
      </c>
      <c r="G33" s="187">
        <v>58900000</v>
      </c>
      <c r="H33" s="186"/>
      <c r="I33" s="186"/>
      <c r="J33" s="186">
        <v>0</v>
      </c>
      <c r="K33" s="189">
        <f t="shared" si="1"/>
        <v>58900000</v>
      </c>
    </row>
    <row r="34" spans="1:12" ht="43.5" customHeight="1" x14ac:dyDescent="0.25">
      <c r="A34" s="164">
        <v>23</v>
      </c>
      <c r="B34" s="163" t="s">
        <v>605</v>
      </c>
      <c r="C34" s="164" t="s">
        <v>605</v>
      </c>
      <c r="D34" s="163" t="s">
        <v>605</v>
      </c>
      <c r="E34" s="163" t="s">
        <v>605</v>
      </c>
      <c r="F34" s="186">
        <f>SUM(F35:F35)</f>
        <v>0</v>
      </c>
      <c r="G34" s="187">
        <v>181957000</v>
      </c>
      <c r="H34" s="186"/>
      <c r="I34" s="186"/>
      <c r="J34" s="186">
        <f>SUM(J35:J35)</f>
        <v>0</v>
      </c>
      <c r="K34" s="189">
        <f t="shared" si="1"/>
        <v>181957000</v>
      </c>
    </row>
    <row r="35" spans="1:12" ht="43.5" customHeight="1" x14ac:dyDescent="0.25">
      <c r="A35" s="164">
        <v>24</v>
      </c>
      <c r="B35" s="163" t="s">
        <v>606</v>
      </c>
      <c r="C35" s="164" t="s">
        <v>606</v>
      </c>
      <c r="D35" s="163" t="s">
        <v>606</v>
      </c>
      <c r="E35" s="163" t="s">
        <v>606</v>
      </c>
      <c r="F35" s="186"/>
      <c r="G35" s="187">
        <v>77762000</v>
      </c>
      <c r="H35" s="186"/>
      <c r="I35" s="186"/>
      <c r="J35" s="186"/>
      <c r="K35" s="189">
        <f t="shared" si="1"/>
        <v>77762000</v>
      </c>
    </row>
    <row r="36" spans="1:12" ht="43.5" customHeight="1" x14ac:dyDescent="0.25">
      <c r="A36" s="164">
        <v>25</v>
      </c>
      <c r="B36" s="163" t="s">
        <v>607</v>
      </c>
      <c r="C36" s="164" t="s">
        <v>607</v>
      </c>
      <c r="D36" s="163" t="s">
        <v>607</v>
      </c>
      <c r="E36" s="163" t="s">
        <v>607</v>
      </c>
      <c r="F36" s="186">
        <f>SUM(F37:F41)</f>
        <v>0</v>
      </c>
      <c r="G36" s="187">
        <v>2249095</v>
      </c>
      <c r="H36" s="186"/>
      <c r="I36" s="186"/>
      <c r="J36" s="186">
        <v>0</v>
      </c>
      <c r="K36" s="189">
        <f t="shared" si="1"/>
        <v>2249095</v>
      </c>
    </row>
    <row r="37" spans="1:12" ht="43.5" customHeight="1" x14ac:dyDescent="0.25">
      <c r="A37" s="164"/>
      <c r="B37" s="163"/>
      <c r="C37" s="190" t="s">
        <v>633</v>
      </c>
      <c r="D37" s="163"/>
      <c r="E37" s="163"/>
      <c r="F37" s="180"/>
      <c r="G37" s="181"/>
      <c r="H37" s="182">
        <v>0</v>
      </c>
      <c r="I37" s="182"/>
      <c r="J37" s="182">
        <v>208000000</v>
      </c>
      <c r="K37" s="189">
        <f t="shared" si="1"/>
        <v>208000000</v>
      </c>
    </row>
    <row r="38" spans="1:12" ht="43.5" customHeight="1" x14ac:dyDescent="0.25">
      <c r="A38" s="164"/>
      <c r="B38" s="163"/>
      <c r="C38" s="163" t="s">
        <v>608</v>
      </c>
      <c r="D38" s="163"/>
      <c r="E38" s="163"/>
      <c r="F38" s="180"/>
      <c r="G38" s="181"/>
      <c r="H38" s="182">
        <v>5955832800</v>
      </c>
      <c r="I38" s="182"/>
      <c r="J38" s="182"/>
      <c r="K38" s="189">
        <f t="shared" si="1"/>
        <v>5955832800</v>
      </c>
    </row>
    <row r="39" spans="1:12" ht="31.5" customHeight="1" x14ac:dyDescent="0.25">
      <c r="A39" s="196">
        <v>2</v>
      </c>
      <c r="B39" s="196"/>
      <c r="C39" s="164" t="s">
        <v>638</v>
      </c>
      <c r="D39" s="196"/>
      <c r="E39" s="196"/>
      <c r="F39" s="178"/>
      <c r="G39" s="176"/>
      <c r="H39" s="175"/>
      <c r="I39" s="175"/>
      <c r="J39" s="175">
        <v>290000000</v>
      </c>
      <c r="K39" s="175">
        <f>+G39+H39+J39+I39</f>
        <v>290000000</v>
      </c>
    </row>
    <row r="40" spans="1:12" ht="43.5" customHeight="1" x14ac:dyDescent="0.25">
      <c r="A40" s="164"/>
      <c r="B40" s="163"/>
      <c r="C40" s="163" t="s">
        <v>609</v>
      </c>
      <c r="D40" s="163"/>
      <c r="E40" s="163"/>
      <c r="F40" s="180"/>
      <c r="G40" s="181"/>
      <c r="H40" s="182">
        <v>421000000</v>
      </c>
      <c r="I40" s="182"/>
      <c r="J40" s="182"/>
      <c r="K40" s="189">
        <f t="shared" si="1"/>
        <v>421000000</v>
      </c>
    </row>
    <row r="41" spans="1:12" ht="43.5" customHeight="1" x14ac:dyDescent="0.25">
      <c r="A41" s="156" t="s">
        <v>4</v>
      </c>
      <c r="B41" s="156" t="s">
        <v>610</v>
      </c>
      <c r="C41" s="156" t="s">
        <v>610</v>
      </c>
      <c r="D41" s="156" t="s">
        <v>610</v>
      </c>
      <c r="E41" s="156" t="s">
        <v>610</v>
      </c>
      <c r="F41" s="191"/>
      <c r="G41" s="192">
        <f>+G42</f>
        <v>4246294305</v>
      </c>
      <c r="H41" s="192">
        <f>+H42</f>
        <v>1204776000</v>
      </c>
      <c r="I41" s="192"/>
      <c r="J41" s="192">
        <f>+J42</f>
        <v>747700000</v>
      </c>
      <c r="K41" s="192">
        <f>+K42</f>
        <v>6198770305</v>
      </c>
    </row>
    <row r="42" spans="1:12" ht="55.5" customHeight="1" x14ac:dyDescent="0.25">
      <c r="A42" s="156" t="s">
        <v>634</v>
      </c>
      <c r="B42" s="156" t="s">
        <v>611</v>
      </c>
      <c r="C42" s="156" t="s">
        <v>611</v>
      </c>
      <c r="D42" s="156" t="s">
        <v>611</v>
      </c>
      <c r="E42" s="156" t="s">
        <v>611</v>
      </c>
      <c r="F42" s="193">
        <f>SUM(F43:F72)-F45</f>
        <v>557913000</v>
      </c>
      <c r="G42" s="194">
        <f>+SUM(G43:G61)</f>
        <v>4246294305</v>
      </c>
      <c r="H42" s="194">
        <f>+SUM(H43:H61)</f>
        <v>1204776000</v>
      </c>
      <c r="I42" s="194">
        <f>+SUM(I43:I61)</f>
        <v>0</v>
      </c>
      <c r="J42" s="194">
        <f>+SUM(J43:J61)</f>
        <v>747700000</v>
      </c>
      <c r="K42" s="194">
        <f>+SUM(K43:K61)</f>
        <v>6198770305</v>
      </c>
      <c r="L42" s="236">
        <f>+K42-H42</f>
        <v>4993994305</v>
      </c>
    </row>
    <row r="43" spans="1:12" ht="43.5" customHeight="1" x14ac:dyDescent="0.25">
      <c r="A43" s="163">
        <v>1</v>
      </c>
      <c r="B43" s="163" t="s">
        <v>599</v>
      </c>
      <c r="C43" s="163" t="s">
        <v>599</v>
      </c>
      <c r="D43" s="163" t="s">
        <v>599</v>
      </c>
      <c r="E43" s="163" t="s">
        <v>599</v>
      </c>
      <c r="F43" s="180"/>
      <c r="G43" s="181">
        <v>86375000</v>
      </c>
      <c r="H43" s="180"/>
      <c r="I43" s="180"/>
      <c r="J43" s="180"/>
      <c r="K43" s="180">
        <f t="shared" si="1"/>
        <v>86375000</v>
      </c>
      <c r="L43" s="79">
        <f>+L42-K61</f>
        <v>4580994305</v>
      </c>
    </row>
    <row r="44" spans="1:12" ht="43.5" customHeight="1" x14ac:dyDescent="0.25">
      <c r="A44" s="163">
        <v>2</v>
      </c>
      <c r="B44" s="163" t="s">
        <v>600</v>
      </c>
      <c r="C44" s="163" t="s">
        <v>600</v>
      </c>
      <c r="D44" s="163" t="s">
        <v>600</v>
      </c>
      <c r="E44" s="163" t="s">
        <v>600</v>
      </c>
      <c r="F44" s="180"/>
      <c r="G44" s="181">
        <v>25000000</v>
      </c>
      <c r="H44" s="180"/>
      <c r="I44" s="180"/>
      <c r="J44" s="180"/>
      <c r="K44" s="180">
        <f t="shared" si="1"/>
        <v>25000000</v>
      </c>
      <c r="L44">
        <v>413</v>
      </c>
    </row>
    <row r="45" spans="1:12" ht="43.5" customHeight="1" x14ac:dyDescent="0.25">
      <c r="A45" s="163">
        <v>3</v>
      </c>
      <c r="B45" s="163" t="s">
        <v>605</v>
      </c>
      <c r="C45" s="163" t="s">
        <v>605</v>
      </c>
      <c r="D45" s="163" t="s">
        <v>605</v>
      </c>
      <c r="E45" s="163" t="s">
        <v>605</v>
      </c>
      <c r="F45" s="180">
        <v>0</v>
      </c>
      <c r="G45" s="181">
        <v>391000</v>
      </c>
      <c r="H45" s="180"/>
      <c r="I45" s="180"/>
      <c r="J45" s="180"/>
      <c r="K45" s="180">
        <f t="shared" si="1"/>
        <v>391000</v>
      </c>
      <c r="L45" s="79"/>
    </row>
    <row r="46" spans="1:12" ht="43.5" customHeight="1" x14ac:dyDescent="0.25">
      <c r="A46" s="163">
        <v>4</v>
      </c>
      <c r="B46" s="164" t="s">
        <v>612</v>
      </c>
      <c r="C46" s="164" t="s">
        <v>612</v>
      </c>
      <c r="D46" s="164" t="s">
        <v>612</v>
      </c>
      <c r="E46" s="164" t="s">
        <v>612</v>
      </c>
      <c r="F46" s="195"/>
      <c r="G46" s="181">
        <v>8800000</v>
      </c>
      <c r="H46" s="180"/>
      <c r="I46" s="180"/>
      <c r="J46" s="180"/>
      <c r="K46" s="180">
        <f t="shared" si="1"/>
        <v>8800000</v>
      </c>
    </row>
    <row r="47" spans="1:12" ht="43.5" customHeight="1" x14ac:dyDescent="0.25">
      <c r="A47" s="164">
        <v>11</v>
      </c>
      <c r="B47" s="164" t="s">
        <v>616</v>
      </c>
      <c r="C47" s="164" t="s">
        <v>616</v>
      </c>
      <c r="D47" s="164" t="s">
        <v>616</v>
      </c>
      <c r="E47" s="164" t="s">
        <v>616</v>
      </c>
      <c r="F47" s="186">
        <f>SUM(F24:F26)</f>
        <v>7913000</v>
      </c>
      <c r="G47" s="187">
        <v>28000000</v>
      </c>
      <c r="H47" s="186"/>
      <c r="I47" s="186"/>
      <c r="J47" s="186">
        <f>SUM(J24:J26)</f>
        <v>0</v>
      </c>
      <c r="K47" s="175">
        <f>+G47+H47+J47+I47</f>
        <v>28000000</v>
      </c>
    </row>
    <row r="48" spans="1:12" ht="43.5" customHeight="1" x14ac:dyDescent="0.25">
      <c r="A48" s="164">
        <v>12</v>
      </c>
      <c r="B48" s="164" t="s">
        <v>617</v>
      </c>
      <c r="C48" s="164" t="s">
        <v>617</v>
      </c>
      <c r="D48" s="164" t="s">
        <v>617</v>
      </c>
      <c r="E48" s="164" t="s">
        <v>617</v>
      </c>
      <c r="F48" s="180"/>
      <c r="G48" s="181">
        <v>8000000</v>
      </c>
      <c r="H48" s="182"/>
      <c r="I48" s="182"/>
      <c r="J48" s="182"/>
      <c r="K48" s="175">
        <f>+G48+H48+J48+I48</f>
        <v>8000000</v>
      </c>
    </row>
    <row r="49" spans="1:12" ht="43.5" customHeight="1" x14ac:dyDescent="0.25">
      <c r="A49" s="163">
        <v>5</v>
      </c>
      <c r="B49" s="164" t="s">
        <v>613</v>
      </c>
      <c r="C49" s="164" t="s">
        <v>613</v>
      </c>
      <c r="D49" s="164" t="s">
        <v>613</v>
      </c>
      <c r="E49" s="164" t="s">
        <v>613</v>
      </c>
      <c r="F49" s="195"/>
      <c r="G49" s="181">
        <v>275524000</v>
      </c>
      <c r="H49" s="180"/>
      <c r="I49" s="180"/>
      <c r="J49" s="180"/>
      <c r="K49" s="180">
        <f t="shared" si="1"/>
        <v>275524000</v>
      </c>
    </row>
    <row r="50" spans="1:12" ht="43.5" customHeight="1" x14ac:dyDescent="0.25">
      <c r="A50" s="163">
        <v>6</v>
      </c>
      <c r="B50" s="196" t="s">
        <v>594</v>
      </c>
      <c r="C50" s="164" t="s">
        <v>594</v>
      </c>
      <c r="D50" s="196" t="s">
        <v>594</v>
      </c>
      <c r="E50" s="196" t="s">
        <v>594</v>
      </c>
      <c r="F50" s="178"/>
      <c r="G50" s="176">
        <v>26661670</v>
      </c>
      <c r="H50" s="175"/>
      <c r="I50" s="175"/>
      <c r="J50" s="175"/>
      <c r="K50" s="175">
        <f t="shared" si="1"/>
        <v>26661670</v>
      </c>
    </row>
    <row r="51" spans="1:12" ht="43.5" customHeight="1" x14ac:dyDescent="0.25">
      <c r="A51" s="163">
        <v>7</v>
      </c>
      <c r="B51" s="164" t="s">
        <v>597</v>
      </c>
      <c r="C51" s="164" t="s">
        <v>597</v>
      </c>
      <c r="D51" s="164" t="s">
        <v>597</v>
      </c>
      <c r="E51" s="164" t="s">
        <v>597</v>
      </c>
      <c r="F51" s="178"/>
      <c r="G51" s="176">
        <v>300000</v>
      </c>
      <c r="H51" s="175"/>
      <c r="I51" s="175"/>
      <c r="J51" s="175"/>
      <c r="K51" s="175">
        <f t="shared" si="1"/>
        <v>300000</v>
      </c>
    </row>
    <row r="52" spans="1:12" ht="43.5" customHeight="1" x14ac:dyDescent="0.25">
      <c r="A52" s="163">
        <v>8</v>
      </c>
      <c r="B52" s="196" t="s">
        <v>595</v>
      </c>
      <c r="C52" s="164" t="s">
        <v>595</v>
      </c>
      <c r="D52" s="196" t="s">
        <v>595</v>
      </c>
      <c r="E52" s="196" t="s">
        <v>595</v>
      </c>
      <c r="F52" s="178"/>
      <c r="G52" s="176">
        <v>6679837</v>
      </c>
      <c r="H52" s="175"/>
      <c r="I52" s="175"/>
      <c r="J52" s="175"/>
      <c r="K52" s="175">
        <f t="shared" si="1"/>
        <v>6679837</v>
      </c>
    </row>
    <row r="53" spans="1:12" ht="43.5" customHeight="1" x14ac:dyDescent="0.25">
      <c r="A53" s="163">
        <v>9</v>
      </c>
      <c r="B53" s="164" t="s">
        <v>596</v>
      </c>
      <c r="C53" s="164" t="s">
        <v>596</v>
      </c>
      <c r="D53" s="164" t="s">
        <v>596</v>
      </c>
      <c r="E53" s="164" t="s">
        <v>596</v>
      </c>
      <c r="F53" s="178"/>
      <c r="G53" s="176">
        <v>3908191</v>
      </c>
      <c r="H53" s="175"/>
      <c r="I53" s="175"/>
      <c r="J53" s="175"/>
      <c r="K53" s="175">
        <f t="shared" si="1"/>
        <v>3908191</v>
      </c>
    </row>
    <row r="54" spans="1:12" ht="43.5" customHeight="1" x14ac:dyDescent="0.25">
      <c r="A54" s="163">
        <v>10</v>
      </c>
      <c r="B54" s="197" t="s">
        <v>614</v>
      </c>
      <c r="C54" s="163" t="s">
        <v>614</v>
      </c>
      <c r="D54" s="197" t="s">
        <v>614</v>
      </c>
      <c r="E54" s="197" t="s">
        <v>614</v>
      </c>
      <c r="F54" s="178"/>
      <c r="G54" s="176">
        <v>1796224000</v>
      </c>
      <c r="H54" s="175">
        <v>763776000</v>
      </c>
      <c r="I54" s="175"/>
      <c r="J54" s="175"/>
      <c r="K54" s="175">
        <f t="shared" si="1"/>
        <v>2560000000</v>
      </c>
    </row>
    <row r="55" spans="1:12" ht="43.5" customHeight="1" x14ac:dyDescent="0.25">
      <c r="A55" s="163">
        <v>11</v>
      </c>
      <c r="B55" s="198" t="s">
        <v>615</v>
      </c>
      <c r="C55" s="164" t="s">
        <v>615</v>
      </c>
      <c r="D55" s="198" t="s">
        <v>615</v>
      </c>
      <c r="E55" s="198" t="s">
        <v>615</v>
      </c>
      <c r="F55" s="178"/>
      <c r="G55" s="176">
        <v>1366332000</v>
      </c>
      <c r="H55" s="175"/>
      <c r="I55" s="175"/>
      <c r="J55" s="175"/>
      <c r="K55" s="175">
        <f t="shared" si="1"/>
        <v>1366332000</v>
      </c>
    </row>
    <row r="56" spans="1:12" ht="43.5" customHeight="1" x14ac:dyDescent="0.25">
      <c r="A56" s="163">
        <v>12</v>
      </c>
      <c r="B56" s="198" t="s">
        <v>615</v>
      </c>
      <c r="C56" s="164" t="s">
        <v>615</v>
      </c>
      <c r="D56" s="198" t="s">
        <v>615</v>
      </c>
      <c r="E56" s="198" t="s">
        <v>615</v>
      </c>
      <c r="F56" s="178"/>
      <c r="G56" s="176">
        <v>0</v>
      </c>
      <c r="H56" s="175"/>
      <c r="I56" s="175"/>
      <c r="J56" s="175">
        <v>290000000</v>
      </c>
      <c r="K56" s="175">
        <f t="shared" si="1"/>
        <v>290000000</v>
      </c>
    </row>
    <row r="57" spans="1:12" ht="43.5" customHeight="1" x14ac:dyDescent="0.25">
      <c r="A57" s="163">
        <v>13</v>
      </c>
      <c r="B57" s="163" t="s">
        <v>618</v>
      </c>
      <c r="C57" s="163" t="s">
        <v>618</v>
      </c>
      <c r="D57" s="163" t="s">
        <v>618</v>
      </c>
      <c r="E57" s="163" t="s">
        <v>618</v>
      </c>
      <c r="F57" s="175"/>
      <c r="G57" s="176">
        <v>107473607</v>
      </c>
      <c r="H57" s="175"/>
      <c r="I57" s="175"/>
      <c r="J57" s="175"/>
      <c r="K57" s="175">
        <f t="shared" si="1"/>
        <v>107473607</v>
      </c>
    </row>
    <row r="58" spans="1:12" ht="43.5" customHeight="1" x14ac:dyDescent="0.25">
      <c r="A58" s="163">
        <v>14</v>
      </c>
      <c r="B58" s="163" t="s">
        <v>620</v>
      </c>
      <c r="C58" s="163" t="s">
        <v>620</v>
      </c>
      <c r="D58" s="163" t="s">
        <v>620</v>
      </c>
      <c r="E58" s="163" t="s">
        <v>620</v>
      </c>
      <c r="F58" s="178"/>
      <c r="G58" s="176">
        <v>506625000</v>
      </c>
      <c r="H58" s="171"/>
      <c r="I58" s="171"/>
      <c r="J58" s="177"/>
      <c r="K58" s="177">
        <f t="shared" si="1"/>
        <v>506625000</v>
      </c>
    </row>
    <row r="59" spans="1:12" ht="43.5" customHeight="1" x14ac:dyDescent="0.25">
      <c r="A59" s="163"/>
      <c r="B59" s="163"/>
      <c r="C59" s="164" t="s">
        <v>635</v>
      </c>
      <c r="D59" s="163"/>
      <c r="E59" s="163"/>
      <c r="F59" s="178"/>
      <c r="G59" s="176"/>
      <c r="H59" s="171"/>
      <c r="I59" s="171"/>
      <c r="J59" s="177">
        <v>44700000</v>
      </c>
      <c r="K59" s="177">
        <f t="shared" si="1"/>
        <v>44700000</v>
      </c>
    </row>
    <row r="60" spans="1:12" ht="31.5" customHeight="1" x14ac:dyDescent="0.25">
      <c r="A60" s="163"/>
      <c r="B60" s="163"/>
      <c r="C60" s="163" t="s">
        <v>619</v>
      </c>
      <c r="D60" s="163"/>
      <c r="E60" s="163"/>
      <c r="F60" s="178"/>
      <c r="G60" s="176"/>
      <c r="H60" s="177">
        <v>441000000</v>
      </c>
      <c r="I60" s="171"/>
      <c r="J60" s="177"/>
      <c r="K60" s="177">
        <f t="shared" si="1"/>
        <v>441000000</v>
      </c>
    </row>
    <row r="61" spans="1:12" ht="31.5" customHeight="1" x14ac:dyDescent="0.25">
      <c r="A61" s="163"/>
      <c r="B61" s="163"/>
      <c r="C61" s="164" t="s">
        <v>636</v>
      </c>
      <c r="D61" s="164"/>
      <c r="E61" s="164"/>
      <c r="F61" s="178"/>
      <c r="G61" s="176"/>
      <c r="H61" s="171"/>
      <c r="I61" s="176"/>
      <c r="J61" s="177">
        <v>413000000</v>
      </c>
      <c r="K61" s="177">
        <f t="shared" si="1"/>
        <v>413000000</v>
      </c>
    </row>
    <row r="62" spans="1:12" ht="29.25" customHeight="1" x14ac:dyDescent="0.25">
      <c r="A62" s="156" t="s">
        <v>5</v>
      </c>
      <c r="B62" s="156" t="s">
        <v>621</v>
      </c>
      <c r="C62" s="199" t="s">
        <v>621</v>
      </c>
      <c r="D62" s="156" t="s">
        <v>621</v>
      </c>
      <c r="E62" s="156" t="s">
        <v>621</v>
      </c>
      <c r="F62" s="178"/>
      <c r="G62" s="179">
        <f>+SUM(G63:G70)</f>
        <v>2037565000</v>
      </c>
      <c r="H62" s="179">
        <f>+SUM(H63:H70)</f>
        <v>0</v>
      </c>
      <c r="I62" s="179">
        <f>+SUM(I63:I70)</f>
        <v>1070044</v>
      </c>
      <c r="J62" s="179">
        <f>+SUM(J63:J70)</f>
        <v>680000000</v>
      </c>
      <c r="K62" s="179">
        <f>+SUM(K63:K70)</f>
        <v>2718635044</v>
      </c>
      <c r="L62" s="236">
        <f>+K62-I62</f>
        <v>2717565000</v>
      </c>
    </row>
    <row r="63" spans="1:12" ht="31.5" customHeight="1" x14ac:dyDescent="0.25">
      <c r="A63" s="196">
        <v>1</v>
      </c>
      <c r="B63" s="196" t="s">
        <v>622</v>
      </c>
      <c r="C63" s="164" t="s">
        <v>622</v>
      </c>
      <c r="D63" s="196" t="s">
        <v>622</v>
      </c>
      <c r="E63" s="196" t="s">
        <v>622</v>
      </c>
      <c r="F63" s="178"/>
      <c r="G63" s="176">
        <v>0</v>
      </c>
      <c r="H63" s="175"/>
      <c r="I63" s="175"/>
      <c r="J63" s="175">
        <v>150000000</v>
      </c>
      <c r="K63" s="175">
        <f>+G63+H63+J63+I63</f>
        <v>150000000</v>
      </c>
      <c r="L63">
        <v>513000000</v>
      </c>
    </row>
    <row r="64" spans="1:12" ht="31.5" customHeight="1" x14ac:dyDescent="0.25">
      <c r="A64" s="196"/>
      <c r="B64" s="196"/>
      <c r="C64" s="164" t="s">
        <v>637</v>
      </c>
      <c r="D64" s="196"/>
      <c r="E64" s="196"/>
      <c r="F64" s="178"/>
      <c r="G64" s="176">
        <v>300000000</v>
      </c>
      <c r="H64" s="175"/>
      <c r="I64" s="175"/>
      <c r="J64" s="175">
        <v>0</v>
      </c>
      <c r="K64" s="175">
        <f>+G64+H64+J64+I64</f>
        <v>300000000</v>
      </c>
      <c r="L64" s="236">
        <f>+L62+L63</f>
        <v>3230565000</v>
      </c>
    </row>
    <row r="65" spans="1:11" ht="43.5" customHeight="1" x14ac:dyDescent="0.25">
      <c r="A65" s="196"/>
      <c r="B65" s="196"/>
      <c r="C65" s="163" t="s">
        <v>606</v>
      </c>
      <c r="D65" s="196"/>
      <c r="E65" s="196"/>
      <c r="F65" s="178"/>
      <c r="G65" s="176">
        <v>294000000</v>
      </c>
      <c r="H65" s="175"/>
      <c r="I65" s="175"/>
      <c r="J65" s="175">
        <v>0</v>
      </c>
      <c r="K65" s="175">
        <f t="shared" ref="K65:K70" si="2">+G65+H65+J65+I65</f>
        <v>294000000</v>
      </c>
    </row>
    <row r="66" spans="1:11" ht="43.5" customHeight="1" x14ac:dyDescent="0.25">
      <c r="A66" s="196">
        <v>3</v>
      </c>
      <c r="B66" s="164" t="s">
        <v>639</v>
      </c>
      <c r="C66" s="164" t="s">
        <v>639</v>
      </c>
      <c r="D66" s="164" t="s">
        <v>639</v>
      </c>
      <c r="E66" s="164" t="s">
        <v>639</v>
      </c>
      <c r="F66" s="178"/>
      <c r="G66" s="176">
        <v>459000000</v>
      </c>
      <c r="H66" s="171"/>
      <c r="I66" s="171"/>
      <c r="J66" s="175"/>
      <c r="K66" s="175">
        <f t="shared" si="2"/>
        <v>459000000</v>
      </c>
    </row>
    <row r="67" spans="1:11" ht="43.5" customHeight="1" x14ac:dyDescent="0.25">
      <c r="A67" s="196">
        <v>4</v>
      </c>
      <c r="B67" s="197" t="s">
        <v>619</v>
      </c>
      <c r="C67" s="163" t="s">
        <v>619</v>
      </c>
      <c r="D67" s="197" t="s">
        <v>619</v>
      </c>
      <c r="E67" s="197" t="s">
        <v>619</v>
      </c>
      <c r="F67" s="175">
        <v>350000000</v>
      </c>
      <c r="G67" s="200">
        <v>984565000</v>
      </c>
      <c r="H67" s="171"/>
      <c r="I67" s="171"/>
      <c r="J67" s="175"/>
      <c r="K67" s="175">
        <f t="shared" si="2"/>
        <v>984565000</v>
      </c>
    </row>
    <row r="68" spans="1:11" ht="43.5" customHeight="1" x14ac:dyDescent="0.25">
      <c r="A68" s="196">
        <v>5</v>
      </c>
      <c r="B68" s="164" t="s">
        <v>584</v>
      </c>
      <c r="C68" s="164" t="s">
        <v>584</v>
      </c>
      <c r="D68" s="164" t="s">
        <v>584</v>
      </c>
      <c r="E68" s="164" t="s">
        <v>584</v>
      </c>
      <c r="F68" s="178"/>
      <c r="G68" s="176">
        <v>0</v>
      </c>
      <c r="H68" s="171"/>
      <c r="I68" s="176">
        <v>561778</v>
      </c>
      <c r="J68" s="175"/>
      <c r="K68" s="175">
        <f t="shared" si="2"/>
        <v>561778</v>
      </c>
    </row>
    <row r="69" spans="1:11" ht="33" customHeight="1" x14ac:dyDescent="0.25">
      <c r="A69" s="196">
        <v>6</v>
      </c>
      <c r="B69" s="164" t="s">
        <v>586</v>
      </c>
      <c r="C69" s="164" t="s">
        <v>586</v>
      </c>
      <c r="D69" s="164" t="s">
        <v>586</v>
      </c>
      <c r="E69" s="164" t="s">
        <v>586</v>
      </c>
      <c r="F69" s="178"/>
      <c r="G69" s="176">
        <v>0</v>
      </c>
      <c r="H69" s="171"/>
      <c r="I69" s="176">
        <v>508266</v>
      </c>
      <c r="J69" s="175"/>
      <c r="K69" s="175">
        <f t="shared" si="2"/>
        <v>508266</v>
      </c>
    </row>
    <row r="70" spans="1:11" ht="33" customHeight="1" x14ac:dyDescent="0.25">
      <c r="A70" s="196"/>
      <c r="B70" s="164"/>
      <c r="C70" s="164" t="s">
        <v>636</v>
      </c>
      <c r="D70" s="164"/>
      <c r="E70" s="164"/>
      <c r="F70" s="178"/>
      <c r="G70" s="176"/>
      <c r="H70" s="171"/>
      <c r="I70" s="176"/>
      <c r="J70" s="175">
        <f>530000000</f>
        <v>530000000</v>
      </c>
      <c r="K70" s="175">
        <f t="shared" si="2"/>
        <v>530000000</v>
      </c>
    </row>
    <row r="71" spans="1:11" ht="35.25" customHeight="1" x14ac:dyDescent="0.25">
      <c r="A71" s="156" t="s">
        <v>6</v>
      </c>
      <c r="B71" s="156" t="s">
        <v>623</v>
      </c>
      <c r="C71" s="156" t="s">
        <v>623</v>
      </c>
      <c r="D71" s="156" t="s">
        <v>623</v>
      </c>
      <c r="E71" s="156" t="s">
        <v>623</v>
      </c>
      <c r="F71" s="178">
        <v>200000000</v>
      </c>
      <c r="G71" s="179">
        <f>+G72</f>
        <v>109350934</v>
      </c>
      <c r="H71" s="179">
        <f>+H72</f>
        <v>41500000</v>
      </c>
      <c r="I71" s="179"/>
      <c r="J71" s="179">
        <f>+J72</f>
        <v>0</v>
      </c>
      <c r="K71" s="179">
        <f>+K72</f>
        <v>150850934</v>
      </c>
    </row>
    <row r="72" spans="1:11" ht="52.5" customHeight="1" x14ac:dyDescent="0.25">
      <c r="A72" s="201">
        <v>1</v>
      </c>
      <c r="B72" s="201" t="s">
        <v>624</v>
      </c>
      <c r="C72" s="201" t="s">
        <v>624</v>
      </c>
      <c r="D72" s="201" t="s">
        <v>624</v>
      </c>
      <c r="E72" s="201" t="s">
        <v>624</v>
      </c>
      <c r="F72" s="175"/>
      <c r="G72" s="176">
        <v>109350934</v>
      </c>
      <c r="H72" s="175">
        <v>41500000</v>
      </c>
      <c r="I72" s="175"/>
      <c r="J72" s="202"/>
      <c r="K72" s="203">
        <f t="shared" si="1"/>
        <v>150850934</v>
      </c>
    </row>
  </sheetData>
  <mergeCells count="12">
    <mergeCell ref="J5:J6"/>
    <mergeCell ref="K5:K6"/>
    <mergeCell ref="A2:K2"/>
    <mergeCell ref="A3:K3"/>
    <mergeCell ref="A5:A6"/>
    <mergeCell ref="B5:B6"/>
    <mergeCell ref="C5:C6"/>
    <mergeCell ref="D5:D6"/>
    <mergeCell ref="E5:E6"/>
    <mergeCell ref="F5:F6"/>
    <mergeCell ref="G5:H5"/>
    <mergeCell ref="I5:I6"/>
  </mergeCells>
  <conditionalFormatting sqref="A9">
    <cfRule type="duplicateValues" dxfId="12" priority="6"/>
  </conditionalFormatting>
  <conditionalFormatting sqref="A13">
    <cfRule type="duplicateValues" dxfId="11" priority="3"/>
  </conditionalFormatting>
  <conditionalFormatting sqref="A47 A11:A12 A16 A18 A20 A22 A24 A26 A28 A30 A32 A14">
    <cfRule type="duplicateValues" dxfId="10" priority="10"/>
  </conditionalFormatting>
  <conditionalFormatting sqref="C9">
    <cfRule type="duplicateValues" dxfId="9" priority="9"/>
  </conditionalFormatting>
  <conditionalFormatting sqref="C10:C12 C14">
    <cfRule type="duplicateValues" dxfId="8" priority="11"/>
  </conditionalFormatting>
  <conditionalFormatting sqref="C13">
    <cfRule type="duplicateValues" dxfId="7" priority="4"/>
  </conditionalFormatting>
  <conditionalFormatting sqref="C15">
    <cfRule type="duplicateValues" dxfId="6" priority="7"/>
  </conditionalFormatting>
  <conditionalFormatting sqref="C16:C21">
    <cfRule type="duplicateValues" dxfId="5" priority="12"/>
  </conditionalFormatting>
  <conditionalFormatting sqref="C22">
    <cfRule type="duplicateValues" dxfId="4" priority="8"/>
  </conditionalFormatting>
  <conditionalFormatting sqref="C33 C37:C54 C57:C58 B58:B61 C63:C72">
    <cfRule type="cellIs" dxfId="3" priority="5" stopIfTrue="1" operator="lessThan">
      <formula>0</formula>
    </cfRule>
  </conditionalFormatting>
  <conditionalFormatting sqref="C42:C46 C23 C49:C54 C30:C33 C57:C58 C63:C72 C37:C40">
    <cfRule type="duplicateValues" dxfId="2" priority="13"/>
  </conditionalFormatting>
  <conditionalFormatting sqref="C60">
    <cfRule type="cellIs" dxfId="1" priority="1" stopIfTrue="1" operator="lessThan">
      <formula>0</formula>
    </cfRule>
    <cfRule type="duplicateValues" dxfId="0" priority="2"/>
  </conditionalFormatting>
  <pageMargins left="0.7" right="0.7" top="0.75" bottom="0.75" header="0.3" footer="0.3"/>
  <pageSetup paperSize="9" scale="8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8F2073-FF05-4F30-B203-8049A8434A3E}">
  <dimension ref="A1:J20"/>
  <sheetViews>
    <sheetView view="pageBreakPreview" zoomScale="60" zoomScaleNormal="100" workbookViewId="0">
      <selection activeCell="A3" sqref="A3:I3"/>
    </sheetView>
  </sheetViews>
  <sheetFormatPr defaultRowHeight="15.75" x14ac:dyDescent="0.25"/>
  <cols>
    <col min="1" max="1" width="11.25" customWidth="1"/>
    <col min="2" max="2" width="45.375" customWidth="1"/>
    <col min="3" max="3" width="18.75" customWidth="1"/>
    <col min="4" max="4" width="17.25" customWidth="1"/>
    <col min="5" max="5" width="15.375" customWidth="1"/>
    <col min="6" max="6" width="15.625" customWidth="1"/>
    <col min="7" max="8" width="17.25" customWidth="1"/>
    <col min="9" max="9" width="18.25" customWidth="1"/>
  </cols>
  <sheetData>
    <row r="1" spans="1:10" x14ac:dyDescent="0.25">
      <c r="H1" s="454" t="s">
        <v>693</v>
      </c>
      <c r="I1" s="454"/>
    </row>
    <row r="2" spans="1:10" ht="18.75" x14ac:dyDescent="0.25">
      <c r="A2" s="475" t="s">
        <v>683</v>
      </c>
      <c r="B2" s="475"/>
      <c r="C2" s="475"/>
      <c r="D2" s="475"/>
      <c r="E2" s="475"/>
      <c r="F2" s="475"/>
      <c r="G2" s="475"/>
      <c r="H2" s="475"/>
      <c r="I2" s="475"/>
    </row>
    <row r="3" spans="1:10" ht="18.75" customHeight="1" x14ac:dyDescent="0.25">
      <c r="A3" s="476" t="s">
        <v>893</v>
      </c>
      <c r="B3" s="477"/>
      <c r="C3" s="477"/>
      <c r="D3" s="477"/>
      <c r="E3" s="477"/>
      <c r="F3" s="477"/>
      <c r="G3" s="477"/>
      <c r="H3" s="477"/>
      <c r="I3" s="477"/>
    </row>
    <row r="4" spans="1:10" ht="18.75" customHeight="1" x14ac:dyDescent="0.25">
      <c r="A4" s="205"/>
      <c r="B4" s="206"/>
      <c r="C4" s="206"/>
      <c r="D4" s="206"/>
      <c r="E4" s="478" t="s">
        <v>644</v>
      </c>
      <c r="F4" s="478"/>
      <c r="G4" s="478"/>
      <c r="H4" s="478"/>
      <c r="I4" s="478"/>
    </row>
    <row r="5" spans="1:10" ht="18.75" customHeight="1" x14ac:dyDescent="0.25">
      <c r="A5" s="479" t="s">
        <v>1</v>
      </c>
      <c r="B5" s="479" t="s">
        <v>645</v>
      </c>
      <c r="C5" s="479" t="s">
        <v>684</v>
      </c>
      <c r="D5" s="482" t="s">
        <v>685</v>
      </c>
      <c r="E5" s="483"/>
      <c r="F5" s="482" t="s">
        <v>686</v>
      </c>
      <c r="G5" s="483"/>
      <c r="H5" s="486"/>
      <c r="I5" s="479" t="s">
        <v>26</v>
      </c>
    </row>
    <row r="6" spans="1:10" s="148" customFormat="1" ht="15.75" customHeight="1" x14ac:dyDescent="0.25">
      <c r="A6" s="480"/>
      <c r="B6" s="480"/>
      <c r="C6" s="480"/>
      <c r="D6" s="484"/>
      <c r="E6" s="485"/>
      <c r="F6" s="484"/>
      <c r="G6" s="485"/>
      <c r="H6" s="487"/>
      <c r="I6" s="480"/>
    </row>
    <row r="7" spans="1:10" s="148" customFormat="1" ht="84.75" customHeight="1" x14ac:dyDescent="0.25">
      <c r="A7" s="481"/>
      <c r="B7" s="481"/>
      <c r="C7" s="481"/>
      <c r="D7" s="238" t="s">
        <v>687</v>
      </c>
      <c r="E7" s="238" t="s">
        <v>688</v>
      </c>
      <c r="F7" s="238" t="s">
        <v>27</v>
      </c>
      <c r="G7" s="238" t="s">
        <v>689</v>
      </c>
      <c r="H7" s="238" t="s">
        <v>646</v>
      </c>
      <c r="I7" s="481"/>
    </row>
    <row r="8" spans="1:10" ht="26.25" customHeight="1" x14ac:dyDescent="0.25">
      <c r="A8" s="208">
        <v>1</v>
      </c>
      <c r="B8" s="208">
        <v>2</v>
      </c>
      <c r="C8" s="208">
        <v>3</v>
      </c>
      <c r="D8" s="208">
        <v>4</v>
      </c>
      <c r="E8" s="208">
        <v>5</v>
      </c>
      <c r="F8" s="208">
        <v>6</v>
      </c>
      <c r="G8" s="208">
        <v>7</v>
      </c>
      <c r="H8" s="208">
        <v>8</v>
      </c>
      <c r="I8" s="208">
        <v>9</v>
      </c>
    </row>
    <row r="9" spans="1:10" ht="26.25" customHeight="1" x14ac:dyDescent="0.25">
      <c r="A9" s="209"/>
      <c r="B9" s="210" t="s">
        <v>448</v>
      </c>
      <c r="C9" s="211">
        <v>31616.594742000001</v>
      </c>
      <c r="D9" s="211">
        <v>17727.598782000001</v>
      </c>
      <c r="E9" s="239">
        <v>-2738.6481269999995</v>
      </c>
      <c r="F9" s="211">
        <v>46222.766853618596</v>
      </c>
      <c r="G9" s="211">
        <v>7941.5874800000011</v>
      </c>
      <c r="H9" s="211">
        <v>38281.179373618594</v>
      </c>
      <c r="I9" s="207"/>
    </row>
    <row r="10" spans="1:10" ht="56.25" customHeight="1" x14ac:dyDescent="0.25">
      <c r="A10" s="240">
        <v>1</v>
      </c>
      <c r="B10" s="241" t="s">
        <v>690</v>
      </c>
      <c r="C10" s="242">
        <v>4670</v>
      </c>
      <c r="D10" s="243">
        <v>1260.0000000000002</v>
      </c>
      <c r="E10" s="244">
        <v>-1260</v>
      </c>
      <c r="F10" s="245">
        <v>4670</v>
      </c>
      <c r="G10" s="244"/>
      <c r="H10" s="245">
        <v>4670</v>
      </c>
      <c r="I10" s="246" t="s">
        <v>833</v>
      </c>
    </row>
    <row r="11" spans="1:10" ht="56.25" customHeight="1" x14ac:dyDescent="0.25">
      <c r="A11" s="240">
        <v>2</v>
      </c>
      <c r="B11" s="241" t="s">
        <v>691</v>
      </c>
      <c r="C11" s="242">
        <v>12211.6</v>
      </c>
      <c r="D11" s="243">
        <v>299.59878200000003</v>
      </c>
      <c r="E11" s="243">
        <v>-1377.3705199999997</v>
      </c>
      <c r="F11" s="245">
        <v>11133.769781999999</v>
      </c>
      <c r="G11" s="244">
        <v>1133.7697820000001</v>
      </c>
      <c r="H11" s="245">
        <v>10000</v>
      </c>
      <c r="I11" s="246" t="s">
        <v>833</v>
      </c>
    </row>
    <row r="12" spans="1:10" ht="37.5" customHeight="1" x14ac:dyDescent="0.25">
      <c r="A12" s="240">
        <v>3</v>
      </c>
      <c r="B12" s="241" t="s">
        <v>382</v>
      </c>
      <c r="C12" s="242">
        <v>3232.0700440000001</v>
      </c>
      <c r="D12" s="243"/>
      <c r="E12" s="243"/>
      <c r="F12" s="245">
        <v>2848.817</v>
      </c>
      <c r="G12" s="244">
        <v>1805.817</v>
      </c>
      <c r="H12" s="245">
        <v>1043</v>
      </c>
      <c r="I12" s="246" t="s">
        <v>833</v>
      </c>
      <c r="J12" s="281"/>
    </row>
    <row r="13" spans="1:10" ht="75" customHeight="1" x14ac:dyDescent="0.25">
      <c r="A13" s="247">
        <v>4</v>
      </c>
      <c r="B13" s="241" t="s">
        <v>647</v>
      </c>
      <c r="C13" s="242">
        <v>6400</v>
      </c>
      <c r="D13" s="248">
        <v>16168</v>
      </c>
      <c r="E13" s="243"/>
      <c r="F13" s="245">
        <v>22568.179373618594</v>
      </c>
      <c r="G13" s="244"/>
      <c r="H13" s="245">
        <v>22568.179373618594</v>
      </c>
      <c r="I13" s="246" t="s">
        <v>833</v>
      </c>
    </row>
    <row r="14" spans="1:10" ht="37.5" x14ac:dyDescent="0.25">
      <c r="A14" s="240">
        <v>5</v>
      </c>
      <c r="B14" s="241" t="s">
        <v>383</v>
      </c>
      <c r="C14" s="242">
        <v>109</v>
      </c>
      <c r="D14" s="243"/>
      <c r="E14" s="243"/>
      <c r="F14" s="245">
        <v>109</v>
      </c>
      <c r="G14" s="244">
        <v>109</v>
      </c>
      <c r="H14" s="245">
        <v>0</v>
      </c>
      <c r="I14" s="246" t="s">
        <v>833</v>
      </c>
    </row>
    <row r="15" spans="1:10" ht="37.5" customHeight="1" x14ac:dyDescent="0.25">
      <c r="A15" s="247">
        <v>6</v>
      </c>
      <c r="B15" s="241" t="s">
        <v>692</v>
      </c>
      <c r="C15" s="242">
        <v>4993.9246980000007</v>
      </c>
      <c r="D15" s="243"/>
      <c r="E15" s="243">
        <v>-101.27760699999995</v>
      </c>
      <c r="F15" s="245">
        <v>4893.0006980000007</v>
      </c>
      <c r="G15" s="244">
        <v>4893.0006980000007</v>
      </c>
      <c r="H15" s="245">
        <v>0</v>
      </c>
      <c r="I15" s="246" t="s">
        <v>833</v>
      </c>
    </row>
    <row r="16" spans="1:10" ht="18.75" x14ac:dyDescent="0.25">
      <c r="G16" s="292">
        <v>4361</v>
      </c>
    </row>
    <row r="17" spans="6:7" ht="18.75" x14ac:dyDescent="0.25">
      <c r="F17" s="291">
        <v>47270</v>
      </c>
      <c r="G17" s="221">
        <f>+G15-G16</f>
        <v>532.00069800000074</v>
      </c>
    </row>
    <row r="18" spans="6:7" x14ac:dyDescent="0.25">
      <c r="F18" s="281">
        <f>+F17-F9</f>
        <v>1047.2331463814044</v>
      </c>
    </row>
    <row r="19" spans="6:7" ht="18.75" x14ac:dyDescent="0.25">
      <c r="F19" s="291">
        <v>632.52</v>
      </c>
      <c r="G19" t="s">
        <v>849</v>
      </c>
    </row>
    <row r="20" spans="6:7" x14ac:dyDescent="0.25">
      <c r="F20" s="281">
        <f>1047-F19</f>
        <v>414.48</v>
      </c>
    </row>
  </sheetData>
  <mergeCells count="10">
    <mergeCell ref="H1:I1"/>
    <mergeCell ref="A2:I2"/>
    <mergeCell ref="A3:I3"/>
    <mergeCell ref="E4:I4"/>
    <mergeCell ref="A5:A7"/>
    <mergeCell ref="B5:B7"/>
    <mergeCell ref="C5:C7"/>
    <mergeCell ref="D5:E6"/>
    <mergeCell ref="F5:H6"/>
    <mergeCell ref="I5:I7"/>
  </mergeCells>
  <pageMargins left="0.42" right="0.7" top="0.39" bottom="0.75" header="0.3" footer="0.3"/>
  <pageSetup paperSize="9" scale="71"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73D68D-DE9A-4A59-8932-75348D375D22}">
  <dimension ref="A1:E34"/>
  <sheetViews>
    <sheetView view="pageBreakPreview" zoomScale="118" zoomScaleNormal="100" zoomScaleSheetLayoutView="118" workbookViewId="0">
      <selection activeCell="B14" sqref="B14"/>
    </sheetView>
  </sheetViews>
  <sheetFormatPr defaultRowHeight="15.75" x14ac:dyDescent="0.25"/>
  <cols>
    <col min="1" max="1" width="6" customWidth="1"/>
    <col min="2" max="2" width="33.125" customWidth="1"/>
    <col min="3" max="3" width="12.5" style="339" customWidth="1"/>
    <col min="4" max="4" width="33.75" style="218" customWidth="1"/>
  </cols>
  <sheetData>
    <row r="1" spans="1:5" x14ac:dyDescent="0.25">
      <c r="A1" s="294"/>
      <c r="B1" s="294"/>
      <c r="C1" s="333"/>
      <c r="D1" s="295" t="s">
        <v>648</v>
      </c>
      <c r="E1" s="212"/>
    </row>
    <row r="2" spans="1:5" ht="12.75" customHeight="1" x14ac:dyDescent="0.25">
      <c r="A2" s="438" t="s">
        <v>657</v>
      </c>
      <c r="B2" s="438"/>
      <c r="C2" s="438"/>
      <c r="D2" s="438"/>
      <c r="E2" s="212"/>
    </row>
    <row r="3" spans="1:5" ht="12.75" customHeight="1" x14ac:dyDescent="0.25">
      <c r="A3" s="439" t="str">
        <f>+'Biểu Thu '!A5:E5</f>
        <v>(Kèm theo Nghị quyết số    /NQ- HĐND ngày     tháng 7 năm 2026 của HĐND xã Lùng Phình)</v>
      </c>
      <c r="B3" s="439"/>
      <c r="C3" s="439"/>
      <c r="D3" s="439"/>
      <c r="E3" s="212"/>
    </row>
    <row r="4" spans="1:5" ht="12.75" customHeight="1" x14ac:dyDescent="0.25">
      <c r="A4" s="296"/>
      <c r="B4" s="297"/>
      <c r="C4" s="440" t="s">
        <v>125</v>
      </c>
      <c r="D4" s="440"/>
      <c r="E4" s="212"/>
    </row>
    <row r="5" spans="1:5" ht="28.5" x14ac:dyDescent="0.25">
      <c r="A5" s="298" t="s">
        <v>1</v>
      </c>
      <c r="B5" s="213" t="s">
        <v>431</v>
      </c>
      <c r="C5" s="334" t="s">
        <v>432</v>
      </c>
      <c r="D5" s="220" t="s">
        <v>26</v>
      </c>
      <c r="E5" s="214" t="s">
        <v>405</v>
      </c>
    </row>
    <row r="6" spans="1:5" x14ac:dyDescent="0.25">
      <c r="A6" s="299" t="s">
        <v>130</v>
      </c>
      <c r="B6" s="300" t="s">
        <v>176</v>
      </c>
      <c r="C6" s="335">
        <f>+C7</f>
        <v>1259.106</v>
      </c>
      <c r="D6" s="219"/>
      <c r="E6" s="212"/>
    </row>
    <row r="7" spans="1:5" x14ac:dyDescent="0.25">
      <c r="A7" s="299" t="s">
        <v>132</v>
      </c>
      <c r="B7" s="300" t="s">
        <v>183</v>
      </c>
      <c r="C7" s="335">
        <f>+C8+C19+C28+C30</f>
        <v>1259.106</v>
      </c>
      <c r="D7" s="219"/>
      <c r="E7" s="301"/>
    </row>
    <row r="8" spans="1:5" ht="34.5" customHeight="1" x14ac:dyDescent="0.25">
      <c r="A8" s="299" t="s">
        <v>2</v>
      </c>
      <c r="B8" s="300" t="s">
        <v>889</v>
      </c>
      <c r="C8" s="335">
        <f>+C9+C13+C11+C15+C17</f>
        <v>532.70000000000005</v>
      </c>
      <c r="D8" s="219"/>
      <c r="E8" s="212"/>
    </row>
    <row r="9" spans="1:5" x14ac:dyDescent="0.25">
      <c r="A9" s="299">
        <v>1</v>
      </c>
      <c r="B9" s="300" t="s">
        <v>185</v>
      </c>
      <c r="C9" s="335">
        <f>+SUM(C10:C10)</f>
        <v>167.5</v>
      </c>
      <c r="D9" s="302"/>
      <c r="E9" s="301"/>
    </row>
    <row r="10" spans="1:5" ht="34.5" customHeight="1" x14ac:dyDescent="0.25">
      <c r="A10" s="303" t="s">
        <v>123</v>
      </c>
      <c r="B10" s="304" t="s">
        <v>847</v>
      </c>
      <c r="C10" s="336">
        <v>167.5</v>
      </c>
      <c r="D10" s="216" t="s">
        <v>835</v>
      </c>
      <c r="E10" s="212"/>
    </row>
    <row r="11" spans="1:5" x14ac:dyDescent="0.25">
      <c r="A11" s="299">
        <v>2</v>
      </c>
      <c r="B11" s="300" t="s">
        <v>170</v>
      </c>
      <c r="C11" s="335">
        <f>+SUM(C12:C12)</f>
        <v>15.6</v>
      </c>
      <c r="D11" s="302"/>
      <c r="E11" s="212"/>
    </row>
    <row r="12" spans="1:5" ht="60" x14ac:dyDescent="0.25">
      <c r="A12" s="305" t="s">
        <v>123</v>
      </c>
      <c r="B12" s="306" t="s">
        <v>848</v>
      </c>
      <c r="C12" s="336">
        <v>15.6</v>
      </c>
      <c r="D12" s="215" t="s">
        <v>866</v>
      </c>
      <c r="E12" s="344">
        <f>+C10+C14</f>
        <v>470.3</v>
      </c>
    </row>
    <row r="13" spans="1:5" x14ac:dyDescent="0.25">
      <c r="A13" s="299">
        <v>3</v>
      </c>
      <c r="B13" s="300" t="s">
        <v>836</v>
      </c>
      <c r="C13" s="335">
        <f>+SUM(C14:C14)</f>
        <v>302.8</v>
      </c>
      <c r="D13" s="307"/>
      <c r="E13" s="212"/>
    </row>
    <row r="14" spans="1:5" s="80" customFormat="1" ht="36" customHeight="1" x14ac:dyDescent="0.25">
      <c r="A14" s="303" t="s">
        <v>123</v>
      </c>
      <c r="B14" s="304" t="s">
        <v>847</v>
      </c>
      <c r="C14" s="336">
        <v>302.8</v>
      </c>
      <c r="D14" s="283" t="s">
        <v>835</v>
      </c>
      <c r="E14" s="212"/>
    </row>
    <row r="15" spans="1:5" s="81" customFormat="1" x14ac:dyDescent="0.25">
      <c r="A15" s="298">
        <v>4</v>
      </c>
      <c r="B15" s="359" t="s">
        <v>887</v>
      </c>
      <c r="C15" s="338">
        <f>+C16</f>
        <v>23.4</v>
      </c>
      <c r="D15" s="360"/>
      <c r="E15" s="294"/>
    </row>
    <row r="16" spans="1:5" s="80" customFormat="1" ht="63" customHeight="1" x14ac:dyDescent="0.25">
      <c r="A16" s="303"/>
      <c r="B16" s="318" t="s">
        <v>424</v>
      </c>
      <c r="C16" s="336">
        <v>23.4</v>
      </c>
      <c r="D16" s="215" t="s">
        <v>888</v>
      </c>
      <c r="E16" s="212"/>
    </row>
    <row r="17" spans="1:5" s="81" customFormat="1" x14ac:dyDescent="0.25">
      <c r="A17" s="298">
        <v>5</v>
      </c>
      <c r="B17" s="359" t="s">
        <v>258</v>
      </c>
      <c r="C17" s="338">
        <f>+C18</f>
        <v>23.4</v>
      </c>
      <c r="D17" s="360"/>
      <c r="E17" s="294"/>
    </row>
    <row r="18" spans="1:5" s="80" customFormat="1" ht="36" customHeight="1" x14ac:dyDescent="0.25">
      <c r="A18" s="303"/>
      <c r="B18" s="318" t="s">
        <v>424</v>
      </c>
      <c r="C18" s="336">
        <v>23.4</v>
      </c>
      <c r="D18" s="215" t="s">
        <v>888</v>
      </c>
      <c r="E18" s="212"/>
    </row>
    <row r="19" spans="1:5" x14ac:dyDescent="0.25">
      <c r="A19" s="299" t="s">
        <v>3</v>
      </c>
      <c r="B19" s="300" t="s">
        <v>682</v>
      </c>
      <c r="C19" s="335">
        <f>+SUM(C20:C27)</f>
        <v>32</v>
      </c>
      <c r="D19" s="307">
        <f>+SUM(D26:D27)</f>
        <v>0</v>
      </c>
      <c r="E19" s="212" t="e">
        <f>+#REF!-50</f>
        <v>#REF!</v>
      </c>
    </row>
    <row r="20" spans="1:5" ht="60" x14ac:dyDescent="0.25">
      <c r="A20" s="308">
        <v>1</v>
      </c>
      <c r="B20" s="361" t="s">
        <v>841</v>
      </c>
      <c r="C20" s="337">
        <v>3</v>
      </c>
      <c r="D20" s="283" t="s">
        <v>861</v>
      </c>
      <c r="E20" s="212"/>
    </row>
    <row r="21" spans="1:5" s="80" customFormat="1" ht="75" x14ac:dyDescent="0.25">
      <c r="A21" s="308">
        <v>2</v>
      </c>
      <c r="B21" s="361" t="s">
        <v>841</v>
      </c>
      <c r="C21" s="337">
        <v>65</v>
      </c>
      <c r="D21" s="283" t="s">
        <v>885</v>
      </c>
      <c r="E21" s="357"/>
    </row>
    <row r="22" spans="1:5" ht="60" x14ac:dyDescent="0.25">
      <c r="A22" s="308">
        <v>3</v>
      </c>
      <c r="B22" s="361" t="s">
        <v>842</v>
      </c>
      <c r="C22" s="337">
        <v>3</v>
      </c>
      <c r="D22" s="283" t="s">
        <v>862</v>
      </c>
      <c r="E22" s="212"/>
    </row>
    <row r="23" spans="1:5" ht="60" x14ac:dyDescent="0.25">
      <c r="A23" s="308">
        <v>4</v>
      </c>
      <c r="B23" s="362" t="s">
        <v>843</v>
      </c>
      <c r="C23" s="337">
        <v>2</v>
      </c>
      <c r="D23" s="283" t="s">
        <v>862</v>
      </c>
      <c r="E23" s="212"/>
    </row>
    <row r="24" spans="1:5" ht="60" x14ac:dyDescent="0.25">
      <c r="A24" s="308">
        <v>5</v>
      </c>
      <c r="B24" s="361" t="s">
        <v>844</v>
      </c>
      <c r="C24" s="337">
        <v>5</v>
      </c>
      <c r="D24" s="283" t="s">
        <v>863</v>
      </c>
      <c r="E24" s="212"/>
    </row>
    <row r="25" spans="1:5" ht="44.25" customHeight="1" x14ac:dyDescent="0.25">
      <c r="A25" s="308">
        <v>6</v>
      </c>
      <c r="B25" s="361" t="s">
        <v>844</v>
      </c>
      <c r="C25" s="358">
        <v>-65</v>
      </c>
      <c r="D25" s="283" t="s">
        <v>886</v>
      </c>
      <c r="E25" s="212"/>
    </row>
    <row r="26" spans="1:5" ht="60" x14ac:dyDescent="0.25">
      <c r="A26" s="308">
        <v>7</v>
      </c>
      <c r="B26" s="361" t="s">
        <v>845</v>
      </c>
      <c r="C26" s="337">
        <v>11</v>
      </c>
      <c r="D26" s="283" t="s">
        <v>864</v>
      </c>
      <c r="E26" s="212"/>
    </row>
    <row r="27" spans="1:5" ht="60" customHeight="1" x14ac:dyDescent="0.25">
      <c r="A27" s="308">
        <v>8</v>
      </c>
      <c r="B27" s="361" t="s">
        <v>846</v>
      </c>
      <c r="C27" s="337">
        <v>8</v>
      </c>
      <c r="D27" s="283" t="s">
        <v>865</v>
      </c>
      <c r="E27" s="309"/>
    </row>
    <row r="28" spans="1:5" x14ac:dyDescent="0.25">
      <c r="A28" s="299" t="s">
        <v>4</v>
      </c>
      <c r="B28" s="300" t="s">
        <v>228</v>
      </c>
      <c r="C28" s="335">
        <f>+C29</f>
        <v>642.16300000000001</v>
      </c>
      <c r="D28" s="302" t="s">
        <v>405</v>
      </c>
      <c r="E28" s="212"/>
    </row>
    <row r="29" spans="1:5" s="212" customFormat="1" ht="32.25" customHeight="1" x14ac:dyDescent="0.25">
      <c r="A29" s="308" t="s">
        <v>123</v>
      </c>
      <c r="B29" s="310" t="s">
        <v>839</v>
      </c>
      <c r="C29" s="336">
        <v>642.16300000000001</v>
      </c>
      <c r="D29" s="215" t="s">
        <v>840</v>
      </c>
    </row>
    <row r="30" spans="1:5" s="78" customFormat="1" x14ac:dyDescent="0.25">
      <c r="A30" s="298" t="s">
        <v>5</v>
      </c>
      <c r="B30" s="311" t="s">
        <v>165</v>
      </c>
      <c r="C30" s="338">
        <f>+C31</f>
        <v>52.243000000000002</v>
      </c>
      <c r="D30" s="217"/>
      <c r="E30" s="294"/>
    </row>
    <row r="31" spans="1:5" s="78" customFormat="1" x14ac:dyDescent="0.25">
      <c r="A31" s="298">
        <v>1</v>
      </c>
      <c r="B31" s="300" t="s">
        <v>166</v>
      </c>
      <c r="C31" s="338">
        <f>+C32</f>
        <v>52.243000000000002</v>
      </c>
      <c r="D31" s="217"/>
      <c r="E31" s="294"/>
    </row>
    <row r="32" spans="1:5" ht="30" x14ac:dyDescent="0.25">
      <c r="A32" s="303" t="s">
        <v>123</v>
      </c>
      <c r="B32" s="306" t="s">
        <v>837</v>
      </c>
      <c r="C32" s="336">
        <v>52.243000000000002</v>
      </c>
      <c r="D32" s="215" t="s">
        <v>838</v>
      </c>
      <c r="E32" s="212"/>
    </row>
    <row r="33" spans="1:4" x14ac:dyDescent="0.25">
      <c r="A33" s="233" t="s">
        <v>6</v>
      </c>
      <c r="B33" s="300" t="s">
        <v>875</v>
      </c>
      <c r="C33" s="363">
        <f>+C34</f>
        <v>10</v>
      </c>
      <c r="D33" s="346"/>
    </row>
    <row r="34" spans="1:4" ht="47.25" x14ac:dyDescent="0.25">
      <c r="A34" s="347" t="s">
        <v>123</v>
      </c>
      <c r="B34" s="321" t="s">
        <v>892</v>
      </c>
      <c r="C34" s="345">
        <v>10</v>
      </c>
      <c r="D34" s="215" t="s">
        <v>891</v>
      </c>
    </row>
  </sheetData>
  <mergeCells count="3">
    <mergeCell ref="A2:D2"/>
    <mergeCell ref="A3:D3"/>
    <mergeCell ref="C4:D4"/>
  </mergeCells>
  <pageMargins left="0.7" right="0.7" top="0.75" bottom="0.75" header="0.3" footer="0.3"/>
  <pageSetup paperSize="9" scale="96"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7FE8A-B976-4CE9-AFFD-259F6C54A3B7}">
  <dimension ref="A1:AF64"/>
  <sheetViews>
    <sheetView view="pageBreakPreview" zoomScale="60" zoomScaleNormal="100" workbookViewId="0">
      <selection activeCell="C20" sqref="C20"/>
    </sheetView>
  </sheetViews>
  <sheetFormatPr defaultRowHeight="15.75" x14ac:dyDescent="0.25"/>
  <cols>
    <col min="1" max="1" width="9.625" customWidth="1"/>
    <col min="2" max="2" width="16.875" customWidth="1"/>
    <col min="3" max="3" width="27.25" customWidth="1"/>
    <col min="4" max="5" width="8.875" customWidth="1"/>
    <col min="6" max="6" width="11"/>
    <col min="7" max="27" width="0" hidden="1" customWidth="1"/>
    <col min="28" max="29" width="13.875" customWidth="1"/>
    <col min="31" max="32" width="10.875" bestFit="1" customWidth="1"/>
  </cols>
  <sheetData>
    <row r="1" spans="1:32" x14ac:dyDescent="0.25">
      <c r="A1" s="282" t="s">
        <v>695</v>
      </c>
      <c r="B1" s="282"/>
      <c r="C1" s="488" t="s">
        <v>405</v>
      </c>
      <c r="D1" s="488"/>
      <c r="E1" s="488"/>
      <c r="F1" s="488"/>
      <c r="G1" s="488"/>
      <c r="H1" s="488"/>
      <c r="I1" s="488"/>
      <c r="J1" s="488"/>
      <c r="K1" s="488"/>
      <c r="L1" s="488"/>
      <c r="M1" s="488"/>
      <c r="N1" s="488"/>
      <c r="O1" s="488"/>
      <c r="P1" s="488"/>
      <c r="Q1" s="488"/>
      <c r="R1" s="488"/>
      <c r="S1" s="488"/>
      <c r="T1" s="488"/>
      <c r="U1" s="488"/>
      <c r="V1" s="488"/>
      <c r="W1" s="488"/>
      <c r="X1" s="488"/>
      <c r="Y1" s="488"/>
      <c r="Z1" s="488"/>
      <c r="AA1" s="488"/>
      <c r="AB1" s="488"/>
      <c r="AC1" s="488"/>
    </row>
    <row r="2" spans="1:32" x14ac:dyDescent="0.25">
      <c r="A2" s="249" t="s">
        <v>696</v>
      </c>
      <c r="B2" s="249"/>
      <c r="C2" s="488"/>
      <c r="D2" s="488"/>
      <c r="E2" s="488"/>
      <c r="F2" s="488"/>
      <c r="G2" s="488"/>
      <c r="H2" s="488"/>
      <c r="I2" s="488"/>
      <c r="J2" s="488"/>
      <c r="K2" s="488"/>
      <c r="L2" s="488"/>
      <c r="M2" s="488"/>
      <c r="N2" s="488"/>
      <c r="O2" s="488"/>
      <c r="P2" s="488"/>
      <c r="Q2" s="488"/>
      <c r="R2" s="488"/>
      <c r="S2" s="488"/>
      <c r="T2" s="488"/>
      <c r="U2" s="488"/>
      <c r="V2" s="488"/>
      <c r="W2" s="488"/>
      <c r="X2" s="488"/>
      <c r="Y2" s="488"/>
      <c r="Z2" s="488"/>
      <c r="AA2" s="488"/>
      <c r="AB2" s="488"/>
      <c r="AC2" s="488"/>
    </row>
    <row r="3" spans="1:32" ht="20.25" customHeight="1" x14ac:dyDescent="0.25">
      <c r="A3" s="494" t="s">
        <v>834</v>
      </c>
      <c r="B3" s="494"/>
      <c r="C3" s="494"/>
      <c r="D3" s="494"/>
      <c r="E3" s="494"/>
      <c r="F3" s="494"/>
      <c r="G3" s="494"/>
      <c r="H3" s="494"/>
      <c r="I3" s="494"/>
      <c r="J3" s="494"/>
      <c r="K3" s="494"/>
      <c r="L3" s="494"/>
      <c r="M3" s="494"/>
      <c r="N3" s="494"/>
      <c r="O3" s="494"/>
      <c r="P3" s="494"/>
      <c r="Q3" s="494"/>
      <c r="R3" s="494"/>
      <c r="S3" s="494"/>
      <c r="T3" s="494"/>
      <c r="U3" s="494"/>
      <c r="V3" s="494"/>
      <c r="W3" s="494"/>
      <c r="X3" s="494"/>
      <c r="Y3" s="494"/>
      <c r="Z3" s="494"/>
      <c r="AA3" s="494"/>
      <c r="AB3" s="494"/>
      <c r="AC3" s="494"/>
    </row>
    <row r="4" spans="1:32" ht="20.25" customHeight="1" x14ac:dyDescent="0.25">
      <c r="A4" s="489" t="s">
        <v>893</v>
      </c>
      <c r="B4" s="489"/>
      <c r="C4" s="489"/>
      <c r="D4" s="489"/>
      <c r="E4" s="489"/>
      <c r="F4" s="489"/>
      <c r="G4" s="489"/>
      <c r="H4" s="489"/>
      <c r="I4" s="489"/>
      <c r="J4" s="489"/>
      <c r="K4" s="489"/>
      <c r="L4" s="489"/>
      <c r="M4" s="489"/>
      <c r="N4" s="489"/>
      <c r="O4" s="489"/>
      <c r="P4" s="489"/>
      <c r="Q4" s="489"/>
      <c r="R4" s="489"/>
      <c r="S4" s="489"/>
      <c r="T4" s="489"/>
      <c r="U4" s="489"/>
      <c r="V4" s="489"/>
      <c r="W4" s="489"/>
      <c r="X4" s="489"/>
      <c r="Y4" s="489"/>
      <c r="Z4" s="489"/>
      <c r="AA4" s="489"/>
      <c r="AB4" s="489"/>
      <c r="AC4" s="489"/>
    </row>
    <row r="5" spans="1:32" x14ac:dyDescent="0.25">
      <c r="A5" s="250"/>
      <c r="B5" s="250"/>
      <c r="C5" s="250"/>
      <c r="D5" s="250"/>
      <c r="E5" s="250"/>
      <c r="F5" s="250"/>
      <c r="G5" s="250"/>
      <c r="H5" s="250"/>
      <c r="I5" s="250"/>
      <c r="J5" s="250"/>
      <c r="K5" s="250"/>
      <c r="L5" s="250"/>
      <c r="M5" s="250"/>
      <c r="N5" s="250"/>
      <c r="O5" s="250"/>
      <c r="P5" s="250"/>
      <c r="Q5" s="250"/>
      <c r="R5" s="250"/>
      <c r="S5" s="250"/>
      <c r="T5" s="250"/>
      <c r="U5" s="250"/>
      <c r="V5" s="250"/>
      <c r="W5" s="250"/>
      <c r="X5" s="250"/>
      <c r="Y5" s="250"/>
      <c r="Z5" s="250"/>
      <c r="AA5" s="250"/>
      <c r="AB5" s="250"/>
      <c r="AC5" s="251" t="s">
        <v>697</v>
      </c>
    </row>
    <row r="6" spans="1:32" x14ac:dyDescent="0.25">
      <c r="A6" s="490" t="s">
        <v>1</v>
      </c>
      <c r="B6" s="491" t="s">
        <v>698</v>
      </c>
      <c r="C6" s="492" t="s">
        <v>699</v>
      </c>
      <c r="D6" s="493" t="s">
        <v>700</v>
      </c>
      <c r="E6" s="493" t="s">
        <v>701</v>
      </c>
      <c r="F6" s="492" t="s">
        <v>702</v>
      </c>
      <c r="G6" s="490" t="s">
        <v>703</v>
      </c>
      <c r="H6" s="490"/>
      <c r="I6" s="490"/>
      <c r="J6" s="490"/>
      <c r="K6" s="492" t="s">
        <v>704</v>
      </c>
      <c r="L6" s="492" t="s">
        <v>705</v>
      </c>
      <c r="M6" s="490" t="s">
        <v>706</v>
      </c>
      <c r="N6" s="490"/>
      <c r="O6" s="490"/>
      <c r="P6" s="492" t="s">
        <v>707</v>
      </c>
      <c r="Q6" s="492" t="s">
        <v>708</v>
      </c>
      <c r="R6" s="254"/>
      <c r="S6" s="254"/>
      <c r="T6" s="254"/>
      <c r="U6" s="254"/>
      <c r="V6" s="254"/>
      <c r="W6" s="252"/>
      <c r="X6" s="252"/>
      <c r="Y6" s="252" t="e">
        <f>+Y9-P9</f>
        <v>#REF!</v>
      </c>
      <c r="Z6" s="252"/>
      <c r="AA6" s="252"/>
      <c r="AB6" s="492" t="s">
        <v>709</v>
      </c>
      <c r="AC6" s="492" t="s">
        <v>710</v>
      </c>
    </row>
    <row r="7" spans="1:32" ht="24" x14ac:dyDescent="0.25">
      <c r="A7" s="490"/>
      <c r="B7" s="491"/>
      <c r="C7" s="492"/>
      <c r="D7" s="493"/>
      <c r="E7" s="493"/>
      <c r="F7" s="492"/>
      <c r="G7" s="253" t="s">
        <v>711</v>
      </c>
      <c r="H7" s="253" t="s">
        <v>712</v>
      </c>
      <c r="I7" s="253" t="s">
        <v>713</v>
      </c>
      <c r="J7" s="253" t="s">
        <v>714</v>
      </c>
      <c r="K7" s="492"/>
      <c r="L7" s="492"/>
      <c r="M7" s="255" t="s">
        <v>715</v>
      </c>
      <c r="N7" s="255" t="s">
        <v>716</v>
      </c>
      <c r="O7" s="255" t="s">
        <v>717</v>
      </c>
      <c r="P7" s="492"/>
      <c r="Q7" s="492"/>
      <c r="R7" s="253" t="s">
        <v>718</v>
      </c>
      <c r="S7" s="253" t="s">
        <v>719</v>
      </c>
      <c r="T7" s="253" t="s">
        <v>720</v>
      </c>
      <c r="U7" s="253" t="s">
        <v>721</v>
      </c>
      <c r="V7" s="253" t="s">
        <v>722</v>
      </c>
      <c r="W7" s="253" t="s">
        <v>723</v>
      </c>
      <c r="X7" s="253">
        <v>6149</v>
      </c>
      <c r="Y7" s="253" t="s">
        <v>27</v>
      </c>
      <c r="Z7" s="253" t="s">
        <v>724</v>
      </c>
      <c r="AA7" s="253">
        <v>6111</v>
      </c>
      <c r="AB7" s="492"/>
      <c r="AC7" s="492"/>
      <c r="AE7" t="s">
        <v>823</v>
      </c>
      <c r="AF7" t="s">
        <v>824</v>
      </c>
    </row>
    <row r="8" spans="1:32" x14ac:dyDescent="0.25">
      <c r="A8" s="252"/>
      <c r="B8" s="492" t="s">
        <v>427</v>
      </c>
      <c r="C8" s="492"/>
      <c r="D8" s="256"/>
      <c r="E8" s="256"/>
      <c r="F8" s="256"/>
      <c r="G8" s="256" t="e">
        <f t="shared" ref="G8:AA8" si="0">+G9+G28+G48</f>
        <v>#REF!</v>
      </c>
      <c r="H8" s="256" t="e">
        <f t="shared" si="0"/>
        <v>#REF!</v>
      </c>
      <c r="I8" s="256" t="e">
        <f t="shared" si="0"/>
        <v>#REF!</v>
      </c>
      <c r="J8" s="256" t="e">
        <f t="shared" si="0"/>
        <v>#REF!</v>
      </c>
      <c r="K8" s="256" t="e">
        <f t="shared" si="0"/>
        <v>#REF!</v>
      </c>
      <c r="L8" s="256" t="e">
        <f t="shared" si="0"/>
        <v>#REF!</v>
      </c>
      <c r="M8" s="256" t="e">
        <f t="shared" si="0"/>
        <v>#REF!</v>
      </c>
      <c r="N8" s="256" t="e">
        <f t="shared" si="0"/>
        <v>#REF!</v>
      </c>
      <c r="O8" s="256" t="e">
        <f t="shared" si="0"/>
        <v>#REF!</v>
      </c>
      <c r="P8" s="256" t="e">
        <f t="shared" si="0"/>
        <v>#REF!</v>
      </c>
      <c r="Q8" s="256" t="e">
        <f t="shared" si="0"/>
        <v>#REF!</v>
      </c>
      <c r="R8" s="256" t="e">
        <f t="shared" si="0"/>
        <v>#REF!</v>
      </c>
      <c r="S8" s="256" t="e">
        <f t="shared" si="0"/>
        <v>#REF!</v>
      </c>
      <c r="T8" s="256" t="e">
        <f t="shared" si="0"/>
        <v>#REF!</v>
      </c>
      <c r="U8" s="256" t="e">
        <f t="shared" si="0"/>
        <v>#REF!</v>
      </c>
      <c r="V8" s="256" t="e">
        <f t="shared" si="0"/>
        <v>#REF!</v>
      </c>
      <c r="W8" s="256" t="e">
        <f t="shared" si="0"/>
        <v>#REF!</v>
      </c>
      <c r="X8" s="256" t="e">
        <f t="shared" si="0"/>
        <v>#REF!</v>
      </c>
      <c r="Y8" s="256" t="e">
        <f t="shared" si="0"/>
        <v>#REF!</v>
      </c>
      <c r="Z8" s="256" t="e">
        <f t="shared" si="0"/>
        <v>#REF!</v>
      </c>
      <c r="AA8" s="256" t="e">
        <f t="shared" si="0"/>
        <v>#REF!</v>
      </c>
      <c r="AB8" s="256"/>
      <c r="AC8" s="257">
        <f>+AC9+AC28+AC48</f>
        <v>470438280.00000006</v>
      </c>
      <c r="AE8" s="221">
        <f>+AC9</f>
        <v>167553360.00000003</v>
      </c>
      <c r="AF8" s="221">
        <f>+AC28+AC48</f>
        <v>302884920.00000006</v>
      </c>
    </row>
    <row r="9" spans="1:32" s="78" customFormat="1" x14ac:dyDescent="0.25">
      <c r="A9" s="258" t="str">
        <f>+'[3]VP UBND'!A8</f>
        <v>I</v>
      </c>
      <c r="B9" s="161" t="s">
        <v>725</v>
      </c>
      <c r="C9" s="161"/>
      <c r="D9" s="257">
        <f t="shared" ref="D9:AA9" si="1">SUM(D10:D27)</f>
        <v>23.400000000000006</v>
      </c>
      <c r="E9" s="257">
        <f>SUM(E10:E27)</f>
        <v>23.400000000000006</v>
      </c>
      <c r="F9" s="257">
        <v>2340000</v>
      </c>
      <c r="G9" s="257" t="e">
        <f t="shared" si="1"/>
        <v>#REF!</v>
      </c>
      <c r="H9" s="257" t="e">
        <f t="shared" si="1"/>
        <v>#REF!</v>
      </c>
      <c r="I9" s="257" t="e">
        <f t="shared" si="1"/>
        <v>#REF!</v>
      </c>
      <c r="J9" s="257" t="e">
        <f t="shared" si="1"/>
        <v>#REF!</v>
      </c>
      <c r="K9" s="257" t="e">
        <f t="shared" si="1"/>
        <v>#REF!</v>
      </c>
      <c r="L9" s="257" t="e">
        <f t="shared" si="1"/>
        <v>#REF!</v>
      </c>
      <c r="M9" s="257" t="e">
        <f t="shared" si="1"/>
        <v>#REF!</v>
      </c>
      <c r="N9" s="257" t="e">
        <f t="shared" si="1"/>
        <v>#REF!</v>
      </c>
      <c r="O9" s="257" t="e">
        <f t="shared" si="1"/>
        <v>#REF!</v>
      </c>
      <c r="P9" s="257" t="e">
        <f t="shared" si="1"/>
        <v>#REF!</v>
      </c>
      <c r="Q9" s="257" t="e">
        <f t="shared" si="1"/>
        <v>#REF!</v>
      </c>
      <c r="R9" s="257" t="e">
        <f t="shared" si="1"/>
        <v>#REF!</v>
      </c>
      <c r="S9" s="257" t="e">
        <f t="shared" si="1"/>
        <v>#REF!</v>
      </c>
      <c r="T9" s="257" t="e">
        <f t="shared" si="1"/>
        <v>#REF!</v>
      </c>
      <c r="U9" s="257" t="e">
        <f t="shared" si="1"/>
        <v>#REF!</v>
      </c>
      <c r="V9" s="257" t="e">
        <f t="shared" si="1"/>
        <v>#REF!</v>
      </c>
      <c r="W9" s="257" t="e">
        <f t="shared" si="1"/>
        <v>#REF!</v>
      </c>
      <c r="X9" s="257" t="e">
        <f t="shared" si="1"/>
        <v>#REF!</v>
      </c>
      <c r="Y9" s="257" t="e">
        <f t="shared" si="1"/>
        <v>#REF!</v>
      </c>
      <c r="Z9" s="257" t="e">
        <f t="shared" si="1"/>
        <v>#REF!</v>
      </c>
      <c r="AA9" s="257" t="e">
        <f t="shared" si="1"/>
        <v>#REF!</v>
      </c>
      <c r="AB9" s="154">
        <v>18</v>
      </c>
      <c r="AC9" s="257">
        <f>SUM(AC10:AC27)</f>
        <v>167553360.00000003</v>
      </c>
    </row>
    <row r="10" spans="1:32" x14ac:dyDescent="0.25">
      <c r="A10" s="259">
        <v>1</v>
      </c>
      <c r="B10" s="260" t="s">
        <v>726</v>
      </c>
      <c r="C10" s="261" t="s">
        <v>727</v>
      </c>
      <c r="D10" s="262">
        <v>1.3</v>
      </c>
      <c r="E10" s="262">
        <f>+D10</f>
        <v>1.3</v>
      </c>
      <c r="F10" s="263">
        <v>2340000</v>
      </c>
      <c r="G10" s="263">
        <v>0.7</v>
      </c>
      <c r="H10" s="263">
        <v>1</v>
      </c>
      <c r="I10" s="263">
        <v>0.25</v>
      </c>
      <c r="J10" s="263"/>
      <c r="K10" s="264" t="e">
        <f>(((#REF!+#REF!)*1490000)*25%)+((#REF!+#REF!+G10+H10)*1490000)</f>
        <v>#REF!</v>
      </c>
      <c r="L10" s="263"/>
      <c r="M10" s="265" t="e">
        <f>((#REF!+#REF!)*F10)*8%</f>
        <v>#REF!</v>
      </c>
      <c r="N10" s="265" t="e">
        <f>+((#REF!+#REF!)*1490000)*1.5%</f>
        <v>#REF!</v>
      </c>
      <c r="O10" s="265" t="e">
        <f>+M10+N10</f>
        <v>#REF!</v>
      </c>
      <c r="P10" s="265" t="e">
        <f>+K10-O10</f>
        <v>#REF!</v>
      </c>
      <c r="Q10" s="263" t="s">
        <v>728</v>
      </c>
      <c r="R10" s="265" t="e">
        <f>+#REF!*F10</f>
        <v>#REF!</v>
      </c>
      <c r="S10" s="265">
        <f>+G10*F10</f>
        <v>1638000</v>
      </c>
      <c r="T10" s="265" t="e">
        <f>+#REF!*F10*J10</f>
        <v>#REF!</v>
      </c>
      <c r="U10" s="265">
        <f>+H10*F10</f>
        <v>2340000</v>
      </c>
      <c r="V10" s="265" t="e">
        <f>+(#REF!+#REF!)*F10*I10</f>
        <v>#REF!</v>
      </c>
      <c r="W10" s="265" t="e">
        <f>+(#REF!*F10)-O10</f>
        <v>#REF!</v>
      </c>
      <c r="X10" s="265"/>
      <c r="Y10" s="265" t="e">
        <f>SUM(R10:X10)</f>
        <v>#REF!</v>
      </c>
      <c r="Z10" s="265" t="e">
        <f>(#REF!*1490000)+1400000</f>
        <v>#REF!</v>
      </c>
      <c r="AA10" s="265"/>
      <c r="AB10" s="263">
        <v>18</v>
      </c>
      <c r="AC10" s="266">
        <f>+AB10*F10*17%*E10</f>
        <v>9308520.0000000019</v>
      </c>
    </row>
    <row r="11" spans="1:32" x14ac:dyDescent="0.25">
      <c r="A11" s="259">
        <v>2</v>
      </c>
      <c r="B11" s="260" t="s">
        <v>729</v>
      </c>
      <c r="C11" s="261" t="s">
        <v>730</v>
      </c>
      <c r="D11" s="262">
        <v>1.3</v>
      </c>
      <c r="E11" s="262">
        <f t="shared" ref="E11:E27" si="2">+D11</f>
        <v>1.3</v>
      </c>
      <c r="F11" s="263">
        <v>2340000</v>
      </c>
      <c r="G11" s="266" t="e">
        <f>SUM(#REF!)</f>
        <v>#REF!</v>
      </c>
      <c r="H11" s="266" t="e">
        <f>SUM(#REF!)</f>
        <v>#REF!</v>
      </c>
      <c r="I11" s="266" t="e">
        <f>SUM(#REF!)</f>
        <v>#REF!</v>
      </c>
      <c r="J11" s="266" t="e">
        <f>SUM(#REF!)</f>
        <v>#REF!</v>
      </c>
      <c r="K11" s="266" t="e">
        <f>SUM(#REF!)</f>
        <v>#REF!</v>
      </c>
      <c r="L11" s="266" t="e">
        <f>SUM(#REF!)</f>
        <v>#REF!</v>
      </c>
      <c r="M11" s="266" t="e">
        <f>SUM(#REF!)</f>
        <v>#REF!</v>
      </c>
      <c r="N11" s="266" t="e">
        <f>SUM(#REF!)</f>
        <v>#REF!</v>
      </c>
      <c r="O11" s="266" t="e">
        <f>SUM(#REF!)</f>
        <v>#REF!</v>
      </c>
      <c r="P11" s="266" t="e">
        <f>SUM(#REF!)</f>
        <v>#REF!</v>
      </c>
      <c r="Q11" s="266" t="e">
        <f>SUM(#REF!)</f>
        <v>#REF!</v>
      </c>
      <c r="R11" s="266" t="e">
        <f>SUM(#REF!)</f>
        <v>#REF!</v>
      </c>
      <c r="S11" s="266" t="e">
        <f>SUM(#REF!)</f>
        <v>#REF!</v>
      </c>
      <c r="T11" s="266" t="e">
        <f>SUM(#REF!)</f>
        <v>#REF!</v>
      </c>
      <c r="U11" s="266" t="e">
        <f>SUM(#REF!)</f>
        <v>#REF!</v>
      </c>
      <c r="V11" s="266" t="e">
        <f>SUM(#REF!)</f>
        <v>#REF!</v>
      </c>
      <c r="W11" s="266" t="e">
        <f>SUM(#REF!)</f>
        <v>#REF!</v>
      </c>
      <c r="X11" s="266" t="e">
        <f>SUM(#REF!)</f>
        <v>#REF!</v>
      </c>
      <c r="Y11" s="266" t="e">
        <f>SUM(#REF!)</f>
        <v>#REF!</v>
      </c>
      <c r="Z11" s="266" t="e">
        <f>SUM(#REF!)</f>
        <v>#REF!</v>
      </c>
      <c r="AA11" s="266" t="e">
        <f>SUM(#REF!)</f>
        <v>#REF!</v>
      </c>
      <c r="AB11" s="263">
        <v>18</v>
      </c>
      <c r="AC11" s="266">
        <f t="shared" ref="AC11:AC26" si="3">+AB11*F11*17%*E11</f>
        <v>9308520.0000000019</v>
      </c>
    </row>
    <row r="12" spans="1:32" x14ac:dyDescent="0.25">
      <c r="A12" s="259">
        <v>3</v>
      </c>
      <c r="B12" s="260" t="s">
        <v>731</v>
      </c>
      <c r="C12" s="261" t="s">
        <v>732</v>
      </c>
      <c r="D12" s="262">
        <v>1.3</v>
      </c>
      <c r="E12" s="262">
        <f t="shared" si="2"/>
        <v>1.3</v>
      </c>
      <c r="F12" s="263">
        <v>2340000</v>
      </c>
      <c r="G12" s="266" t="e">
        <f>SUM(#REF!)</f>
        <v>#REF!</v>
      </c>
      <c r="H12" s="266" t="e">
        <f>SUM(#REF!)</f>
        <v>#REF!</v>
      </c>
      <c r="I12" s="266" t="e">
        <f>SUM(#REF!)</f>
        <v>#REF!</v>
      </c>
      <c r="J12" s="266" t="e">
        <f>SUM(#REF!)</f>
        <v>#REF!</v>
      </c>
      <c r="K12" s="266" t="e">
        <f>SUM(#REF!)</f>
        <v>#REF!</v>
      </c>
      <c r="L12" s="266" t="e">
        <f>SUM(#REF!)</f>
        <v>#REF!</v>
      </c>
      <c r="M12" s="266" t="e">
        <f>SUM(#REF!)</f>
        <v>#REF!</v>
      </c>
      <c r="N12" s="266" t="e">
        <f>SUM(#REF!)</f>
        <v>#REF!</v>
      </c>
      <c r="O12" s="266" t="e">
        <f>SUM(#REF!)</f>
        <v>#REF!</v>
      </c>
      <c r="P12" s="266" t="e">
        <f>SUM(#REF!)</f>
        <v>#REF!</v>
      </c>
      <c r="Q12" s="266" t="e">
        <f>SUM(#REF!)</f>
        <v>#REF!</v>
      </c>
      <c r="R12" s="266" t="e">
        <f>SUM(#REF!)</f>
        <v>#REF!</v>
      </c>
      <c r="S12" s="266" t="e">
        <f>SUM(#REF!)</f>
        <v>#REF!</v>
      </c>
      <c r="T12" s="266" t="e">
        <f>SUM(#REF!)</f>
        <v>#REF!</v>
      </c>
      <c r="U12" s="266" t="e">
        <f>SUM(#REF!)</f>
        <v>#REF!</v>
      </c>
      <c r="V12" s="266" t="e">
        <f>SUM(#REF!)</f>
        <v>#REF!</v>
      </c>
      <c r="W12" s="266" t="e">
        <f>SUM(#REF!)</f>
        <v>#REF!</v>
      </c>
      <c r="X12" s="266" t="e">
        <f>SUM(#REF!)</f>
        <v>#REF!</v>
      </c>
      <c r="Y12" s="266" t="e">
        <f>SUM(#REF!)</f>
        <v>#REF!</v>
      </c>
      <c r="Z12" s="266" t="e">
        <f>SUM(#REF!)</f>
        <v>#REF!</v>
      </c>
      <c r="AA12" s="266" t="e">
        <f>SUM(#REF!)</f>
        <v>#REF!</v>
      </c>
      <c r="AB12" s="263">
        <v>18</v>
      </c>
      <c r="AC12" s="266">
        <f t="shared" si="3"/>
        <v>9308520.0000000019</v>
      </c>
    </row>
    <row r="13" spans="1:32" x14ac:dyDescent="0.25">
      <c r="A13" s="259">
        <v>4</v>
      </c>
      <c r="B13" s="260" t="s">
        <v>733</v>
      </c>
      <c r="C13" s="261" t="s">
        <v>734</v>
      </c>
      <c r="D13" s="262">
        <v>1.3</v>
      </c>
      <c r="E13" s="262">
        <f t="shared" si="2"/>
        <v>1.3</v>
      </c>
      <c r="F13" s="263">
        <v>2340000</v>
      </c>
      <c r="G13" s="266" t="e">
        <f>SUM(#REF!)</f>
        <v>#REF!</v>
      </c>
      <c r="H13" s="266" t="e">
        <f>SUM(#REF!)</f>
        <v>#REF!</v>
      </c>
      <c r="I13" s="266" t="e">
        <f>SUM(#REF!)</f>
        <v>#REF!</v>
      </c>
      <c r="J13" s="266" t="e">
        <f>SUM(#REF!)</f>
        <v>#REF!</v>
      </c>
      <c r="K13" s="266" t="e">
        <f>SUM(#REF!)</f>
        <v>#REF!</v>
      </c>
      <c r="L13" s="266" t="e">
        <f>SUM(#REF!)</f>
        <v>#REF!</v>
      </c>
      <c r="M13" s="266" t="e">
        <f>SUM(#REF!)</f>
        <v>#REF!</v>
      </c>
      <c r="N13" s="266" t="e">
        <f>SUM(#REF!)</f>
        <v>#REF!</v>
      </c>
      <c r="O13" s="266" t="e">
        <f>SUM(#REF!)</f>
        <v>#REF!</v>
      </c>
      <c r="P13" s="266" t="e">
        <f>SUM(#REF!)</f>
        <v>#REF!</v>
      </c>
      <c r="Q13" s="266" t="e">
        <f>SUM(#REF!)</f>
        <v>#REF!</v>
      </c>
      <c r="R13" s="266" t="e">
        <f>SUM(#REF!)</f>
        <v>#REF!</v>
      </c>
      <c r="S13" s="266" t="e">
        <f>SUM(#REF!)</f>
        <v>#REF!</v>
      </c>
      <c r="T13" s="266" t="e">
        <f>SUM(#REF!)</f>
        <v>#REF!</v>
      </c>
      <c r="U13" s="266" t="e">
        <f>SUM(#REF!)</f>
        <v>#REF!</v>
      </c>
      <c r="V13" s="266" t="e">
        <f>SUM(#REF!)</f>
        <v>#REF!</v>
      </c>
      <c r="W13" s="266" t="e">
        <f>SUM(#REF!)</f>
        <v>#REF!</v>
      </c>
      <c r="X13" s="266" t="e">
        <f>SUM(#REF!)</f>
        <v>#REF!</v>
      </c>
      <c r="Y13" s="266" t="e">
        <f>SUM(#REF!)</f>
        <v>#REF!</v>
      </c>
      <c r="Z13" s="266" t="e">
        <f>SUM(#REF!)</f>
        <v>#REF!</v>
      </c>
      <c r="AA13" s="266" t="e">
        <f>SUM(#REF!)</f>
        <v>#REF!</v>
      </c>
      <c r="AB13" s="263">
        <v>18</v>
      </c>
      <c r="AC13" s="266">
        <f t="shared" si="3"/>
        <v>9308520.0000000019</v>
      </c>
    </row>
    <row r="14" spans="1:32" x14ac:dyDescent="0.25">
      <c r="A14" s="259">
        <v>5</v>
      </c>
      <c r="B14" s="260" t="s">
        <v>735</v>
      </c>
      <c r="C14" s="261" t="s">
        <v>736</v>
      </c>
      <c r="D14" s="262">
        <v>1.3</v>
      </c>
      <c r="E14" s="262">
        <f t="shared" si="2"/>
        <v>1.3</v>
      </c>
      <c r="F14" s="263">
        <v>2340000</v>
      </c>
      <c r="G14" s="266" t="e">
        <f>SUM(#REF!)</f>
        <v>#REF!</v>
      </c>
      <c r="H14" s="266" t="e">
        <f>SUM(#REF!)</f>
        <v>#REF!</v>
      </c>
      <c r="I14" s="266" t="e">
        <f>SUM(#REF!)</f>
        <v>#REF!</v>
      </c>
      <c r="J14" s="266" t="e">
        <f>SUM(#REF!)</f>
        <v>#REF!</v>
      </c>
      <c r="K14" s="266" t="e">
        <f>SUM(#REF!)</f>
        <v>#REF!</v>
      </c>
      <c r="L14" s="266" t="e">
        <f>SUM(#REF!)</f>
        <v>#REF!</v>
      </c>
      <c r="M14" s="266" t="e">
        <f>SUM(#REF!)</f>
        <v>#REF!</v>
      </c>
      <c r="N14" s="266" t="e">
        <f>SUM(#REF!)</f>
        <v>#REF!</v>
      </c>
      <c r="O14" s="266" t="e">
        <f>SUM(#REF!)</f>
        <v>#REF!</v>
      </c>
      <c r="P14" s="266" t="e">
        <f>SUM(#REF!)</f>
        <v>#REF!</v>
      </c>
      <c r="Q14" s="266" t="e">
        <f>SUM(#REF!)</f>
        <v>#REF!</v>
      </c>
      <c r="R14" s="266" t="e">
        <f>SUM(#REF!)</f>
        <v>#REF!</v>
      </c>
      <c r="S14" s="266" t="e">
        <f>SUM(#REF!)</f>
        <v>#REF!</v>
      </c>
      <c r="T14" s="266" t="e">
        <f>SUM(#REF!)</f>
        <v>#REF!</v>
      </c>
      <c r="U14" s="266" t="e">
        <f>SUM(#REF!)</f>
        <v>#REF!</v>
      </c>
      <c r="V14" s="266" t="e">
        <f>SUM(#REF!)</f>
        <v>#REF!</v>
      </c>
      <c r="W14" s="266" t="e">
        <f>SUM(#REF!)</f>
        <v>#REF!</v>
      </c>
      <c r="X14" s="266" t="e">
        <f>SUM(#REF!)</f>
        <v>#REF!</v>
      </c>
      <c r="Y14" s="266" t="e">
        <f>SUM(#REF!)</f>
        <v>#REF!</v>
      </c>
      <c r="Z14" s="266" t="e">
        <f>SUM(#REF!)</f>
        <v>#REF!</v>
      </c>
      <c r="AA14" s="266" t="e">
        <f>SUM(#REF!)</f>
        <v>#REF!</v>
      </c>
      <c r="AB14" s="263">
        <v>18</v>
      </c>
      <c r="AC14" s="266">
        <f t="shared" si="3"/>
        <v>9308520.0000000019</v>
      </c>
    </row>
    <row r="15" spans="1:32" x14ac:dyDescent="0.25">
      <c r="A15" s="259">
        <v>6</v>
      </c>
      <c r="B15" s="260" t="s">
        <v>737</v>
      </c>
      <c r="C15" s="261" t="s">
        <v>738</v>
      </c>
      <c r="D15" s="262">
        <v>1.3</v>
      </c>
      <c r="E15" s="262">
        <f t="shared" si="2"/>
        <v>1.3</v>
      </c>
      <c r="F15" s="263">
        <v>2340000</v>
      </c>
      <c r="G15" s="266" t="e">
        <f>SUM(#REF!)</f>
        <v>#REF!</v>
      </c>
      <c r="H15" s="266" t="e">
        <f>SUM(#REF!)</f>
        <v>#REF!</v>
      </c>
      <c r="I15" s="266" t="e">
        <f>SUM(#REF!)</f>
        <v>#REF!</v>
      </c>
      <c r="J15" s="266" t="e">
        <f>SUM(#REF!)</f>
        <v>#REF!</v>
      </c>
      <c r="K15" s="266" t="e">
        <f>SUM(#REF!)</f>
        <v>#REF!</v>
      </c>
      <c r="L15" s="266" t="e">
        <f>SUM(#REF!)</f>
        <v>#REF!</v>
      </c>
      <c r="M15" s="266" t="e">
        <f>SUM(#REF!)</f>
        <v>#REF!</v>
      </c>
      <c r="N15" s="266" t="e">
        <f>SUM(#REF!)</f>
        <v>#REF!</v>
      </c>
      <c r="O15" s="266" t="e">
        <f>SUM(#REF!)</f>
        <v>#REF!</v>
      </c>
      <c r="P15" s="266" t="e">
        <f>SUM(#REF!)</f>
        <v>#REF!</v>
      </c>
      <c r="Q15" s="266" t="e">
        <f>SUM(#REF!)</f>
        <v>#REF!</v>
      </c>
      <c r="R15" s="266" t="e">
        <f>SUM(#REF!)</f>
        <v>#REF!</v>
      </c>
      <c r="S15" s="266" t="e">
        <f>SUM(#REF!)</f>
        <v>#REF!</v>
      </c>
      <c r="T15" s="266" t="e">
        <f>SUM(#REF!)</f>
        <v>#REF!</v>
      </c>
      <c r="U15" s="266" t="e">
        <f>SUM(#REF!)</f>
        <v>#REF!</v>
      </c>
      <c r="V15" s="266" t="e">
        <f>SUM(#REF!)</f>
        <v>#REF!</v>
      </c>
      <c r="W15" s="266" t="e">
        <f>SUM(#REF!)</f>
        <v>#REF!</v>
      </c>
      <c r="X15" s="266" t="e">
        <f>SUM(#REF!)</f>
        <v>#REF!</v>
      </c>
      <c r="Y15" s="266" t="e">
        <f>SUM(#REF!)</f>
        <v>#REF!</v>
      </c>
      <c r="Z15" s="266" t="e">
        <f>SUM(#REF!)</f>
        <v>#REF!</v>
      </c>
      <c r="AA15" s="266" t="e">
        <f>SUM(#REF!)</f>
        <v>#REF!</v>
      </c>
      <c r="AB15" s="263">
        <v>18</v>
      </c>
      <c r="AC15" s="266">
        <f t="shared" si="3"/>
        <v>9308520.0000000019</v>
      </c>
    </row>
    <row r="16" spans="1:32" ht="30" x14ac:dyDescent="0.25">
      <c r="A16" s="259">
        <v>7</v>
      </c>
      <c r="B16" s="260" t="s">
        <v>739</v>
      </c>
      <c r="C16" s="261" t="s">
        <v>740</v>
      </c>
      <c r="D16" s="262">
        <v>1.3</v>
      </c>
      <c r="E16" s="262">
        <f t="shared" si="2"/>
        <v>1.3</v>
      </c>
      <c r="F16" s="263">
        <v>2340000</v>
      </c>
      <c r="G16" s="266" t="e">
        <f>SUM(#REF!)</f>
        <v>#REF!</v>
      </c>
      <c r="H16" s="266" t="e">
        <f>SUM(#REF!)</f>
        <v>#REF!</v>
      </c>
      <c r="I16" s="266" t="e">
        <f>SUM(#REF!)</f>
        <v>#REF!</v>
      </c>
      <c r="J16" s="266" t="e">
        <f>SUM(#REF!)</f>
        <v>#REF!</v>
      </c>
      <c r="K16" s="266" t="e">
        <f>SUM(#REF!)</f>
        <v>#REF!</v>
      </c>
      <c r="L16" s="266" t="e">
        <f>SUM(#REF!)</f>
        <v>#REF!</v>
      </c>
      <c r="M16" s="266" t="e">
        <f>SUM(#REF!)</f>
        <v>#REF!</v>
      </c>
      <c r="N16" s="266" t="e">
        <f>SUM(#REF!)</f>
        <v>#REF!</v>
      </c>
      <c r="O16" s="266" t="e">
        <f>SUM(#REF!)</f>
        <v>#REF!</v>
      </c>
      <c r="P16" s="266" t="e">
        <f>SUM(#REF!)</f>
        <v>#REF!</v>
      </c>
      <c r="Q16" s="266" t="e">
        <f>SUM(#REF!)</f>
        <v>#REF!</v>
      </c>
      <c r="R16" s="266" t="e">
        <f>SUM(#REF!)</f>
        <v>#REF!</v>
      </c>
      <c r="S16" s="266" t="e">
        <f>SUM(#REF!)</f>
        <v>#REF!</v>
      </c>
      <c r="T16" s="266" t="e">
        <f>SUM(#REF!)</f>
        <v>#REF!</v>
      </c>
      <c r="U16" s="266" t="e">
        <f>SUM(#REF!)</f>
        <v>#REF!</v>
      </c>
      <c r="V16" s="266" t="e">
        <f>SUM(#REF!)</f>
        <v>#REF!</v>
      </c>
      <c r="W16" s="266" t="e">
        <f>SUM(#REF!)</f>
        <v>#REF!</v>
      </c>
      <c r="X16" s="266" t="e">
        <f>SUM(#REF!)</f>
        <v>#REF!</v>
      </c>
      <c r="Y16" s="266" t="e">
        <f>SUM(#REF!)</f>
        <v>#REF!</v>
      </c>
      <c r="Z16" s="266" t="e">
        <f>SUM(#REF!)</f>
        <v>#REF!</v>
      </c>
      <c r="AA16" s="266" t="e">
        <f>SUM(#REF!)</f>
        <v>#REF!</v>
      </c>
      <c r="AB16" s="263">
        <v>18</v>
      </c>
      <c r="AC16" s="266">
        <f t="shared" si="3"/>
        <v>9308520.0000000019</v>
      </c>
    </row>
    <row r="17" spans="1:29" ht="30" x14ac:dyDescent="0.25">
      <c r="A17" s="259">
        <v>8</v>
      </c>
      <c r="B17" s="260" t="s">
        <v>741</v>
      </c>
      <c r="C17" s="261" t="s">
        <v>742</v>
      </c>
      <c r="D17" s="262">
        <v>1.3</v>
      </c>
      <c r="E17" s="262">
        <f t="shared" si="2"/>
        <v>1.3</v>
      </c>
      <c r="F17" s="263">
        <v>2340000</v>
      </c>
      <c r="G17" s="266" t="e">
        <f>SUM(#REF!)</f>
        <v>#REF!</v>
      </c>
      <c r="H17" s="266" t="e">
        <f>SUM(#REF!)</f>
        <v>#REF!</v>
      </c>
      <c r="I17" s="266" t="e">
        <f>SUM(#REF!)</f>
        <v>#REF!</v>
      </c>
      <c r="J17" s="266" t="e">
        <f>SUM(#REF!)</f>
        <v>#REF!</v>
      </c>
      <c r="K17" s="266" t="e">
        <f>SUM(#REF!)</f>
        <v>#REF!</v>
      </c>
      <c r="L17" s="266" t="e">
        <f>SUM(#REF!)</f>
        <v>#REF!</v>
      </c>
      <c r="M17" s="266" t="e">
        <f>SUM(#REF!)</f>
        <v>#REF!</v>
      </c>
      <c r="N17" s="266" t="e">
        <f>SUM(#REF!)</f>
        <v>#REF!</v>
      </c>
      <c r="O17" s="266" t="e">
        <f>SUM(#REF!)</f>
        <v>#REF!</v>
      </c>
      <c r="P17" s="266" t="e">
        <f>SUM(#REF!)</f>
        <v>#REF!</v>
      </c>
      <c r="Q17" s="266" t="e">
        <f>SUM(#REF!)</f>
        <v>#REF!</v>
      </c>
      <c r="R17" s="266" t="e">
        <f>SUM(#REF!)</f>
        <v>#REF!</v>
      </c>
      <c r="S17" s="266" t="e">
        <f>SUM(#REF!)</f>
        <v>#REF!</v>
      </c>
      <c r="T17" s="266" t="e">
        <f>SUM(#REF!)</f>
        <v>#REF!</v>
      </c>
      <c r="U17" s="266" t="e">
        <f>SUM(#REF!)</f>
        <v>#REF!</v>
      </c>
      <c r="V17" s="266" t="e">
        <f>SUM(#REF!)</f>
        <v>#REF!</v>
      </c>
      <c r="W17" s="266" t="e">
        <f>SUM(#REF!)</f>
        <v>#REF!</v>
      </c>
      <c r="X17" s="266" t="e">
        <f>SUM(#REF!)</f>
        <v>#REF!</v>
      </c>
      <c r="Y17" s="266" t="e">
        <f>SUM(#REF!)</f>
        <v>#REF!</v>
      </c>
      <c r="Z17" s="266" t="e">
        <f>SUM(#REF!)</f>
        <v>#REF!</v>
      </c>
      <c r="AA17" s="266" t="e">
        <f>SUM(#REF!)</f>
        <v>#REF!</v>
      </c>
      <c r="AB17" s="263">
        <v>18</v>
      </c>
      <c r="AC17" s="266">
        <f t="shared" si="3"/>
        <v>9308520.0000000019</v>
      </c>
    </row>
    <row r="18" spans="1:29" x14ac:dyDescent="0.25">
      <c r="A18" s="259">
        <v>9</v>
      </c>
      <c r="B18" s="260" t="s">
        <v>743</v>
      </c>
      <c r="C18" s="261" t="s">
        <v>744</v>
      </c>
      <c r="D18" s="262">
        <v>1.3</v>
      </c>
      <c r="E18" s="262">
        <f t="shared" si="2"/>
        <v>1.3</v>
      </c>
      <c r="F18" s="263">
        <v>2340000</v>
      </c>
      <c r="G18" s="266" t="e">
        <f>SUM(#REF!)</f>
        <v>#REF!</v>
      </c>
      <c r="H18" s="266" t="e">
        <f>SUM(#REF!)</f>
        <v>#REF!</v>
      </c>
      <c r="I18" s="266" t="e">
        <f>SUM(#REF!)</f>
        <v>#REF!</v>
      </c>
      <c r="J18" s="266" t="e">
        <f>SUM(#REF!)</f>
        <v>#REF!</v>
      </c>
      <c r="K18" s="266" t="e">
        <f>SUM(#REF!)</f>
        <v>#REF!</v>
      </c>
      <c r="L18" s="266" t="e">
        <f>SUM(#REF!)</f>
        <v>#REF!</v>
      </c>
      <c r="M18" s="266" t="e">
        <f>SUM(#REF!)</f>
        <v>#REF!</v>
      </c>
      <c r="N18" s="266" t="e">
        <f>SUM(#REF!)</f>
        <v>#REF!</v>
      </c>
      <c r="O18" s="266" t="e">
        <f>SUM(#REF!)</f>
        <v>#REF!</v>
      </c>
      <c r="P18" s="266" t="e">
        <f>SUM(#REF!)</f>
        <v>#REF!</v>
      </c>
      <c r="Q18" s="266" t="e">
        <f>SUM(#REF!)</f>
        <v>#REF!</v>
      </c>
      <c r="R18" s="266" t="e">
        <f>SUM(#REF!)</f>
        <v>#REF!</v>
      </c>
      <c r="S18" s="266" t="e">
        <f>SUM(#REF!)</f>
        <v>#REF!</v>
      </c>
      <c r="T18" s="266" t="e">
        <f>SUM(#REF!)</f>
        <v>#REF!</v>
      </c>
      <c r="U18" s="266" t="e">
        <f>SUM(#REF!)</f>
        <v>#REF!</v>
      </c>
      <c r="V18" s="266" t="e">
        <f>SUM(#REF!)</f>
        <v>#REF!</v>
      </c>
      <c r="W18" s="266" t="e">
        <f>SUM(#REF!)</f>
        <v>#REF!</v>
      </c>
      <c r="X18" s="266" t="e">
        <f>SUM(#REF!)</f>
        <v>#REF!</v>
      </c>
      <c r="Y18" s="266" t="e">
        <f>SUM(#REF!)</f>
        <v>#REF!</v>
      </c>
      <c r="Z18" s="266" t="e">
        <f>SUM(#REF!)</f>
        <v>#REF!</v>
      </c>
      <c r="AA18" s="266" t="e">
        <f>SUM(#REF!)</f>
        <v>#REF!</v>
      </c>
      <c r="AB18" s="263">
        <v>18</v>
      </c>
      <c r="AC18" s="266">
        <f t="shared" si="3"/>
        <v>9308520.0000000019</v>
      </c>
    </row>
    <row r="19" spans="1:29" x14ac:dyDescent="0.25">
      <c r="A19" s="259">
        <v>10</v>
      </c>
      <c r="B19" s="260" t="s">
        <v>745</v>
      </c>
      <c r="C19" s="261" t="s">
        <v>746</v>
      </c>
      <c r="D19" s="262">
        <v>1.3</v>
      </c>
      <c r="E19" s="262">
        <f t="shared" si="2"/>
        <v>1.3</v>
      </c>
      <c r="F19" s="263">
        <v>2340000</v>
      </c>
      <c r="G19" s="266" t="e">
        <f>SUM(#REF!)</f>
        <v>#REF!</v>
      </c>
      <c r="H19" s="266" t="e">
        <f>SUM(#REF!)</f>
        <v>#REF!</v>
      </c>
      <c r="I19" s="266" t="e">
        <f>SUM(#REF!)</f>
        <v>#REF!</v>
      </c>
      <c r="J19" s="266" t="e">
        <f>SUM(#REF!)</f>
        <v>#REF!</v>
      </c>
      <c r="K19" s="266" t="e">
        <f>SUM(#REF!)</f>
        <v>#REF!</v>
      </c>
      <c r="L19" s="266" t="e">
        <f>SUM(#REF!)</f>
        <v>#REF!</v>
      </c>
      <c r="M19" s="266" t="e">
        <f>SUM(#REF!)</f>
        <v>#REF!</v>
      </c>
      <c r="N19" s="266" t="e">
        <f>SUM(#REF!)</f>
        <v>#REF!</v>
      </c>
      <c r="O19" s="266" t="e">
        <f>SUM(#REF!)</f>
        <v>#REF!</v>
      </c>
      <c r="P19" s="266" t="e">
        <f>SUM(#REF!)</f>
        <v>#REF!</v>
      </c>
      <c r="Q19" s="266" t="e">
        <f>SUM(#REF!)</f>
        <v>#REF!</v>
      </c>
      <c r="R19" s="266" t="e">
        <f>SUM(#REF!)</f>
        <v>#REF!</v>
      </c>
      <c r="S19" s="266" t="e">
        <f>SUM(#REF!)</f>
        <v>#REF!</v>
      </c>
      <c r="T19" s="266" t="e">
        <f>SUM(#REF!)</f>
        <v>#REF!</v>
      </c>
      <c r="U19" s="266" t="e">
        <f>SUM(#REF!)</f>
        <v>#REF!</v>
      </c>
      <c r="V19" s="266" t="e">
        <f>SUM(#REF!)</f>
        <v>#REF!</v>
      </c>
      <c r="W19" s="266" t="e">
        <f>SUM(#REF!)</f>
        <v>#REF!</v>
      </c>
      <c r="X19" s="266" t="e">
        <f>SUM(#REF!)</f>
        <v>#REF!</v>
      </c>
      <c r="Y19" s="266" t="e">
        <f>SUM(#REF!)</f>
        <v>#REF!</v>
      </c>
      <c r="Z19" s="266" t="e">
        <f>SUM(#REF!)</f>
        <v>#REF!</v>
      </c>
      <c r="AA19" s="266" t="e">
        <f>SUM(#REF!)</f>
        <v>#REF!</v>
      </c>
      <c r="AB19" s="263">
        <v>18</v>
      </c>
      <c r="AC19" s="266">
        <f t="shared" si="3"/>
        <v>9308520.0000000019</v>
      </c>
    </row>
    <row r="20" spans="1:29" x14ac:dyDescent="0.25">
      <c r="A20" s="259">
        <v>11</v>
      </c>
      <c r="B20" s="260" t="s">
        <v>747</v>
      </c>
      <c r="C20" s="261" t="s">
        <v>748</v>
      </c>
      <c r="D20" s="262">
        <v>1.3</v>
      </c>
      <c r="E20" s="262">
        <f t="shared" si="2"/>
        <v>1.3</v>
      </c>
      <c r="F20" s="263">
        <v>2340000</v>
      </c>
      <c r="G20" s="266" t="e">
        <f>SUM(#REF!)</f>
        <v>#REF!</v>
      </c>
      <c r="H20" s="266" t="e">
        <f>SUM(#REF!)</f>
        <v>#REF!</v>
      </c>
      <c r="I20" s="266" t="e">
        <f>SUM(#REF!)</f>
        <v>#REF!</v>
      </c>
      <c r="J20" s="266" t="e">
        <f>SUM(#REF!)</f>
        <v>#REF!</v>
      </c>
      <c r="K20" s="266" t="e">
        <f>SUM(#REF!)</f>
        <v>#REF!</v>
      </c>
      <c r="L20" s="266" t="e">
        <f>SUM(#REF!)</f>
        <v>#REF!</v>
      </c>
      <c r="M20" s="266" t="e">
        <f>SUM(#REF!)</f>
        <v>#REF!</v>
      </c>
      <c r="N20" s="266" t="e">
        <f>SUM(#REF!)</f>
        <v>#REF!</v>
      </c>
      <c r="O20" s="266" t="e">
        <f>SUM(#REF!)</f>
        <v>#REF!</v>
      </c>
      <c r="P20" s="266" t="e">
        <f>SUM(#REF!)</f>
        <v>#REF!</v>
      </c>
      <c r="Q20" s="266" t="e">
        <f>SUM(#REF!)</f>
        <v>#REF!</v>
      </c>
      <c r="R20" s="266" t="e">
        <f>SUM(#REF!)</f>
        <v>#REF!</v>
      </c>
      <c r="S20" s="266" t="e">
        <f>SUM(#REF!)</f>
        <v>#REF!</v>
      </c>
      <c r="T20" s="266" t="e">
        <f>SUM(#REF!)</f>
        <v>#REF!</v>
      </c>
      <c r="U20" s="266" t="e">
        <f>SUM(#REF!)</f>
        <v>#REF!</v>
      </c>
      <c r="V20" s="266" t="e">
        <f>SUM(#REF!)</f>
        <v>#REF!</v>
      </c>
      <c r="W20" s="266" t="e">
        <f>SUM(#REF!)</f>
        <v>#REF!</v>
      </c>
      <c r="X20" s="266" t="e">
        <f>SUM(#REF!)</f>
        <v>#REF!</v>
      </c>
      <c r="Y20" s="266" t="e">
        <f>SUM(#REF!)</f>
        <v>#REF!</v>
      </c>
      <c r="Z20" s="266" t="e">
        <f>SUM(#REF!)</f>
        <v>#REF!</v>
      </c>
      <c r="AA20" s="266" t="e">
        <f>SUM(#REF!)</f>
        <v>#REF!</v>
      </c>
      <c r="AB20" s="263">
        <v>18</v>
      </c>
      <c r="AC20" s="266">
        <f t="shared" si="3"/>
        <v>9308520.0000000019</v>
      </c>
    </row>
    <row r="21" spans="1:29" x14ac:dyDescent="0.25">
      <c r="A21" s="259">
        <v>12</v>
      </c>
      <c r="B21" s="260" t="s">
        <v>749</v>
      </c>
      <c r="C21" s="261" t="s">
        <v>750</v>
      </c>
      <c r="D21" s="262">
        <v>1.3</v>
      </c>
      <c r="E21" s="262">
        <f t="shared" si="2"/>
        <v>1.3</v>
      </c>
      <c r="F21" s="263">
        <v>2340000</v>
      </c>
      <c r="G21" s="266" t="e">
        <f>SUM(#REF!)</f>
        <v>#REF!</v>
      </c>
      <c r="H21" s="266" t="e">
        <f>SUM(#REF!)</f>
        <v>#REF!</v>
      </c>
      <c r="I21" s="266" t="e">
        <f>SUM(#REF!)</f>
        <v>#REF!</v>
      </c>
      <c r="J21" s="266" t="e">
        <f>SUM(#REF!)</f>
        <v>#REF!</v>
      </c>
      <c r="K21" s="266" t="e">
        <f>SUM(#REF!)</f>
        <v>#REF!</v>
      </c>
      <c r="L21" s="266" t="e">
        <f>SUM(#REF!)</f>
        <v>#REF!</v>
      </c>
      <c r="M21" s="266" t="e">
        <f>SUM(#REF!)</f>
        <v>#REF!</v>
      </c>
      <c r="N21" s="266" t="e">
        <f>SUM(#REF!)</f>
        <v>#REF!</v>
      </c>
      <c r="O21" s="266" t="e">
        <f>SUM(#REF!)</f>
        <v>#REF!</v>
      </c>
      <c r="P21" s="266" t="e">
        <f>SUM(#REF!)</f>
        <v>#REF!</v>
      </c>
      <c r="Q21" s="266" t="e">
        <f>SUM(#REF!)</f>
        <v>#REF!</v>
      </c>
      <c r="R21" s="266" t="e">
        <f>SUM(#REF!)</f>
        <v>#REF!</v>
      </c>
      <c r="S21" s="266" t="e">
        <f>SUM(#REF!)</f>
        <v>#REF!</v>
      </c>
      <c r="T21" s="266" t="e">
        <f>SUM(#REF!)</f>
        <v>#REF!</v>
      </c>
      <c r="U21" s="266" t="e">
        <f>SUM(#REF!)</f>
        <v>#REF!</v>
      </c>
      <c r="V21" s="266" t="e">
        <f>SUM(#REF!)</f>
        <v>#REF!</v>
      </c>
      <c r="W21" s="266" t="e">
        <f>SUM(#REF!)</f>
        <v>#REF!</v>
      </c>
      <c r="X21" s="266" t="e">
        <f>SUM(#REF!)</f>
        <v>#REF!</v>
      </c>
      <c r="Y21" s="266" t="e">
        <f>SUM(#REF!)</f>
        <v>#REF!</v>
      </c>
      <c r="Z21" s="266" t="e">
        <f>SUM(#REF!)</f>
        <v>#REF!</v>
      </c>
      <c r="AA21" s="266" t="e">
        <f>SUM(#REF!)</f>
        <v>#REF!</v>
      </c>
      <c r="AB21" s="263">
        <v>18</v>
      </c>
      <c r="AC21" s="266">
        <f t="shared" si="3"/>
        <v>9308520.0000000019</v>
      </c>
    </row>
    <row r="22" spans="1:29" x14ac:dyDescent="0.25">
      <c r="A22" s="259">
        <v>13</v>
      </c>
      <c r="B22" s="260" t="s">
        <v>751</v>
      </c>
      <c r="C22" s="261" t="s">
        <v>752</v>
      </c>
      <c r="D22" s="262">
        <v>1.3</v>
      </c>
      <c r="E22" s="262">
        <f t="shared" si="2"/>
        <v>1.3</v>
      </c>
      <c r="F22" s="263">
        <v>2340000</v>
      </c>
      <c r="G22" s="266" t="e">
        <f>SUM(#REF!)</f>
        <v>#REF!</v>
      </c>
      <c r="H22" s="266" t="e">
        <f>SUM(#REF!)</f>
        <v>#REF!</v>
      </c>
      <c r="I22" s="266" t="e">
        <f>SUM(#REF!)</f>
        <v>#REF!</v>
      </c>
      <c r="J22" s="266" t="e">
        <f>SUM(#REF!)</f>
        <v>#REF!</v>
      </c>
      <c r="K22" s="266" t="e">
        <f>SUM(#REF!)</f>
        <v>#REF!</v>
      </c>
      <c r="L22" s="266" t="e">
        <f>SUM(#REF!)</f>
        <v>#REF!</v>
      </c>
      <c r="M22" s="266" t="e">
        <f>SUM(#REF!)</f>
        <v>#REF!</v>
      </c>
      <c r="N22" s="266" t="e">
        <f>SUM(#REF!)</f>
        <v>#REF!</v>
      </c>
      <c r="O22" s="266" t="e">
        <f>SUM(#REF!)</f>
        <v>#REF!</v>
      </c>
      <c r="P22" s="266" t="e">
        <f>SUM(#REF!)</f>
        <v>#REF!</v>
      </c>
      <c r="Q22" s="266" t="e">
        <f>SUM(#REF!)</f>
        <v>#REF!</v>
      </c>
      <c r="R22" s="266" t="e">
        <f>SUM(#REF!)</f>
        <v>#REF!</v>
      </c>
      <c r="S22" s="266" t="e">
        <f>SUM(#REF!)</f>
        <v>#REF!</v>
      </c>
      <c r="T22" s="266" t="e">
        <f>SUM(#REF!)</f>
        <v>#REF!</v>
      </c>
      <c r="U22" s="266" t="e">
        <f>SUM(#REF!)</f>
        <v>#REF!</v>
      </c>
      <c r="V22" s="266" t="e">
        <f>SUM(#REF!)</f>
        <v>#REF!</v>
      </c>
      <c r="W22" s="266" t="e">
        <f>SUM(#REF!)</f>
        <v>#REF!</v>
      </c>
      <c r="X22" s="266" t="e">
        <f>SUM(#REF!)</f>
        <v>#REF!</v>
      </c>
      <c r="Y22" s="266" t="e">
        <f>SUM(#REF!)</f>
        <v>#REF!</v>
      </c>
      <c r="Z22" s="266" t="e">
        <f>SUM(#REF!)</f>
        <v>#REF!</v>
      </c>
      <c r="AA22" s="266" t="e">
        <f>SUM(#REF!)</f>
        <v>#REF!</v>
      </c>
      <c r="AB22" s="263">
        <v>18</v>
      </c>
      <c r="AC22" s="266">
        <f t="shared" si="3"/>
        <v>9308520.0000000019</v>
      </c>
    </row>
    <row r="23" spans="1:29" x14ac:dyDescent="0.25">
      <c r="A23" s="259">
        <v>14</v>
      </c>
      <c r="B23" s="260" t="s">
        <v>753</v>
      </c>
      <c r="C23" s="261" t="s">
        <v>754</v>
      </c>
      <c r="D23" s="262">
        <v>1.3</v>
      </c>
      <c r="E23" s="262">
        <f t="shared" si="2"/>
        <v>1.3</v>
      </c>
      <c r="F23" s="263">
        <v>2340000</v>
      </c>
      <c r="G23" s="266" t="e">
        <f>SUM(#REF!)</f>
        <v>#REF!</v>
      </c>
      <c r="H23" s="266" t="e">
        <f>SUM(#REF!)</f>
        <v>#REF!</v>
      </c>
      <c r="I23" s="266" t="e">
        <f>SUM(#REF!)</f>
        <v>#REF!</v>
      </c>
      <c r="J23" s="266" t="e">
        <f>SUM(#REF!)</f>
        <v>#REF!</v>
      </c>
      <c r="K23" s="266" t="e">
        <f>SUM(#REF!)</f>
        <v>#REF!</v>
      </c>
      <c r="L23" s="266" t="e">
        <f>SUM(#REF!)</f>
        <v>#REF!</v>
      </c>
      <c r="M23" s="266" t="e">
        <f>SUM(#REF!)</f>
        <v>#REF!</v>
      </c>
      <c r="N23" s="266" t="e">
        <f>SUM(#REF!)</f>
        <v>#REF!</v>
      </c>
      <c r="O23" s="266" t="e">
        <f>SUM(#REF!)</f>
        <v>#REF!</v>
      </c>
      <c r="P23" s="266" t="e">
        <f>SUM(#REF!)</f>
        <v>#REF!</v>
      </c>
      <c r="Q23" s="266" t="e">
        <f>SUM(#REF!)</f>
        <v>#REF!</v>
      </c>
      <c r="R23" s="266" t="e">
        <f>SUM(#REF!)</f>
        <v>#REF!</v>
      </c>
      <c r="S23" s="266" t="e">
        <f>SUM(#REF!)</f>
        <v>#REF!</v>
      </c>
      <c r="T23" s="266" t="e">
        <f>SUM(#REF!)</f>
        <v>#REF!</v>
      </c>
      <c r="U23" s="266" t="e">
        <f>SUM(#REF!)</f>
        <v>#REF!</v>
      </c>
      <c r="V23" s="266" t="e">
        <f>SUM(#REF!)</f>
        <v>#REF!</v>
      </c>
      <c r="W23" s="266" t="e">
        <f>SUM(#REF!)</f>
        <v>#REF!</v>
      </c>
      <c r="X23" s="266" t="e">
        <f>SUM(#REF!)</f>
        <v>#REF!</v>
      </c>
      <c r="Y23" s="266" t="e">
        <f>SUM(#REF!)</f>
        <v>#REF!</v>
      </c>
      <c r="Z23" s="266" t="e">
        <f>SUM(#REF!)</f>
        <v>#REF!</v>
      </c>
      <c r="AA23" s="266" t="e">
        <f>SUM(#REF!)</f>
        <v>#REF!</v>
      </c>
      <c r="AB23" s="263">
        <v>18</v>
      </c>
      <c r="AC23" s="266">
        <f t="shared" si="3"/>
        <v>9308520.0000000019</v>
      </c>
    </row>
    <row r="24" spans="1:29" x14ac:dyDescent="0.25">
      <c r="A24" s="259">
        <v>15</v>
      </c>
      <c r="B24" s="260" t="s">
        <v>755</v>
      </c>
      <c r="C24" s="261" t="s">
        <v>756</v>
      </c>
      <c r="D24" s="262">
        <v>1.3</v>
      </c>
      <c r="E24" s="262">
        <f t="shared" si="2"/>
        <v>1.3</v>
      </c>
      <c r="F24" s="263">
        <v>2340000</v>
      </c>
      <c r="G24" s="266" t="e">
        <f>SUM(#REF!)</f>
        <v>#REF!</v>
      </c>
      <c r="H24" s="266" t="e">
        <f>SUM(#REF!)</f>
        <v>#REF!</v>
      </c>
      <c r="I24" s="266" t="e">
        <f>SUM(#REF!)</f>
        <v>#REF!</v>
      </c>
      <c r="J24" s="266" t="e">
        <f>SUM(#REF!)</f>
        <v>#REF!</v>
      </c>
      <c r="K24" s="266" t="e">
        <f>SUM(#REF!)</f>
        <v>#REF!</v>
      </c>
      <c r="L24" s="266" t="e">
        <f>SUM(#REF!)</f>
        <v>#REF!</v>
      </c>
      <c r="M24" s="266" t="e">
        <f>SUM(#REF!)</f>
        <v>#REF!</v>
      </c>
      <c r="N24" s="266" t="e">
        <f>SUM(#REF!)</f>
        <v>#REF!</v>
      </c>
      <c r="O24" s="266" t="e">
        <f>SUM(#REF!)</f>
        <v>#REF!</v>
      </c>
      <c r="P24" s="266" t="e">
        <f>SUM(#REF!)</f>
        <v>#REF!</v>
      </c>
      <c r="Q24" s="266" t="e">
        <f>SUM(#REF!)</f>
        <v>#REF!</v>
      </c>
      <c r="R24" s="266" t="e">
        <f>SUM(#REF!)</f>
        <v>#REF!</v>
      </c>
      <c r="S24" s="266" t="e">
        <f>SUM(#REF!)</f>
        <v>#REF!</v>
      </c>
      <c r="T24" s="266" t="e">
        <f>SUM(#REF!)</f>
        <v>#REF!</v>
      </c>
      <c r="U24" s="266" t="e">
        <f>SUM(#REF!)</f>
        <v>#REF!</v>
      </c>
      <c r="V24" s="266" t="e">
        <f>SUM(#REF!)</f>
        <v>#REF!</v>
      </c>
      <c r="W24" s="266" t="e">
        <f>SUM(#REF!)</f>
        <v>#REF!</v>
      </c>
      <c r="X24" s="266" t="e">
        <f>SUM(#REF!)</f>
        <v>#REF!</v>
      </c>
      <c r="Y24" s="266" t="e">
        <f>SUM(#REF!)</f>
        <v>#REF!</v>
      </c>
      <c r="Z24" s="266" t="e">
        <f>SUM(#REF!)</f>
        <v>#REF!</v>
      </c>
      <c r="AA24" s="266" t="e">
        <f>SUM(#REF!)</f>
        <v>#REF!</v>
      </c>
      <c r="AB24" s="263">
        <v>18</v>
      </c>
      <c r="AC24" s="266">
        <f t="shared" si="3"/>
        <v>9308520.0000000019</v>
      </c>
    </row>
    <row r="25" spans="1:29" x14ac:dyDescent="0.25">
      <c r="A25" s="259">
        <v>16</v>
      </c>
      <c r="B25" s="260" t="s">
        <v>757</v>
      </c>
      <c r="C25" s="261" t="s">
        <v>758</v>
      </c>
      <c r="D25" s="262">
        <v>1.3</v>
      </c>
      <c r="E25" s="262">
        <f t="shared" si="2"/>
        <v>1.3</v>
      </c>
      <c r="F25" s="263">
        <v>2340000</v>
      </c>
      <c r="G25" s="266" t="e">
        <f>SUM(#REF!)</f>
        <v>#REF!</v>
      </c>
      <c r="H25" s="266" t="e">
        <f>SUM(#REF!)</f>
        <v>#REF!</v>
      </c>
      <c r="I25" s="266" t="e">
        <f>SUM(#REF!)</f>
        <v>#REF!</v>
      </c>
      <c r="J25" s="266" t="e">
        <f>SUM(#REF!)</f>
        <v>#REF!</v>
      </c>
      <c r="K25" s="266" t="e">
        <f>SUM(#REF!)</f>
        <v>#REF!</v>
      </c>
      <c r="L25" s="266" t="e">
        <f>SUM(#REF!)</f>
        <v>#REF!</v>
      </c>
      <c r="M25" s="266" t="e">
        <f>SUM(#REF!)</f>
        <v>#REF!</v>
      </c>
      <c r="N25" s="266" t="e">
        <f>SUM(#REF!)</f>
        <v>#REF!</v>
      </c>
      <c r="O25" s="266" t="e">
        <f>SUM(#REF!)</f>
        <v>#REF!</v>
      </c>
      <c r="P25" s="266" t="e">
        <f>SUM(#REF!)</f>
        <v>#REF!</v>
      </c>
      <c r="Q25" s="266" t="e">
        <f>SUM(#REF!)</f>
        <v>#REF!</v>
      </c>
      <c r="R25" s="266" t="e">
        <f>SUM(#REF!)</f>
        <v>#REF!</v>
      </c>
      <c r="S25" s="266" t="e">
        <f>SUM(#REF!)</f>
        <v>#REF!</v>
      </c>
      <c r="T25" s="266" t="e">
        <f>SUM(#REF!)</f>
        <v>#REF!</v>
      </c>
      <c r="U25" s="266" t="e">
        <f>SUM(#REF!)</f>
        <v>#REF!</v>
      </c>
      <c r="V25" s="266" t="e">
        <f>SUM(#REF!)</f>
        <v>#REF!</v>
      </c>
      <c r="W25" s="266" t="e">
        <f>SUM(#REF!)</f>
        <v>#REF!</v>
      </c>
      <c r="X25" s="266" t="e">
        <f>SUM(#REF!)</f>
        <v>#REF!</v>
      </c>
      <c r="Y25" s="266" t="e">
        <f>SUM(#REF!)</f>
        <v>#REF!</v>
      </c>
      <c r="Z25" s="266" t="e">
        <f>SUM(#REF!)</f>
        <v>#REF!</v>
      </c>
      <c r="AA25" s="266" t="e">
        <f>SUM(#REF!)</f>
        <v>#REF!</v>
      </c>
      <c r="AB25" s="263">
        <v>18</v>
      </c>
      <c r="AC25" s="266">
        <f t="shared" si="3"/>
        <v>9308520.0000000019</v>
      </c>
    </row>
    <row r="26" spans="1:29" x14ac:dyDescent="0.25">
      <c r="A26" s="259">
        <v>17</v>
      </c>
      <c r="B26" s="260" t="s">
        <v>759</v>
      </c>
      <c r="C26" s="261" t="s">
        <v>760</v>
      </c>
      <c r="D26" s="262">
        <v>1.3</v>
      </c>
      <c r="E26" s="262">
        <f t="shared" si="2"/>
        <v>1.3</v>
      </c>
      <c r="F26" s="263">
        <v>2340000</v>
      </c>
      <c r="G26" s="266" t="e">
        <f>SUM(#REF!)</f>
        <v>#REF!</v>
      </c>
      <c r="H26" s="266" t="e">
        <f>SUM(#REF!)</f>
        <v>#REF!</v>
      </c>
      <c r="I26" s="266" t="e">
        <f>SUM(#REF!)</f>
        <v>#REF!</v>
      </c>
      <c r="J26" s="266" t="e">
        <f>SUM(#REF!)</f>
        <v>#REF!</v>
      </c>
      <c r="K26" s="266" t="e">
        <f>SUM(#REF!)</f>
        <v>#REF!</v>
      </c>
      <c r="L26" s="266" t="e">
        <f>SUM(#REF!)</f>
        <v>#REF!</v>
      </c>
      <c r="M26" s="266" t="e">
        <f>SUM(#REF!)</f>
        <v>#REF!</v>
      </c>
      <c r="N26" s="266" t="e">
        <f>SUM(#REF!)</f>
        <v>#REF!</v>
      </c>
      <c r="O26" s="266" t="e">
        <f>SUM(#REF!)</f>
        <v>#REF!</v>
      </c>
      <c r="P26" s="266" t="e">
        <f>SUM(#REF!)</f>
        <v>#REF!</v>
      </c>
      <c r="Q26" s="266" t="e">
        <f>SUM(#REF!)</f>
        <v>#REF!</v>
      </c>
      <c r="R26" s="266" t="e">
        <f>SUM(#REF!)</f>
        <v>#REF!</v>
      </c>
      <c r="S26" s="266" t="e">
        <f>SUM(#REF!)</f>
        <v>#REF!</v>
      </c>
      <c r="T26" s="266" t="e">
        <f>SUM(#REF!)</f>
        <v>#REF!</v>
      </c>
      <c r="U26" s="266" t="e">
        <f>SUM(#REF!)</f>
        <v>#REF!</v>
      </c>
      <c r="V26" s="266" t="e">
        <f>SUM(#REF!)</f>
        <v>#REF!</v>
      </c>
      <c r="W26" s="266" t="e">
        <f>SUM(#REF!)</f>
        <v>#REF!</v>
      </c>
      <c r="X26" s="266" t="e">
        <f>SUM(#REF!)</f>
        <v>#REF!</v>
      </c>
      <c r="Y26" s="266" t="e">
        <f>SUM(#REF!)</f>
        <v>#REF!</v>
      </c>
      <c r="Z26" s="266" t="e">
        <f>SUM(#REF!)</f>
        <v>#REF!</v>
      </c>
      <c r="AA26" s="266" t="e">
        <f>SUM(#REF!)</f>
        <v>#REF!</v>
      </c>
      <c r="AB26" s="263">
        <v>18</v>
      </c>
      <c r="AC26" s="266">
        <f t="shared" si="3"/>
        <v>9308520.0000000019</v>
      </c>
    </row>
    <row r="27" spans="1:29" x14ac:dyDescent="0.25">
      <c r="A27" s="259">
        <v>18</v>
      </c>
      <c r="B27" s="267" t="s">
        <v>761</v>
      </c>
      <c r="C27" s="261" t="s">
        <v>762</v>
      </c>
      <c r="D27" s="262">
        <v>1.3</v>
      </c>
      <c r="E27" s="262">
        <f t="shared" si="2"/>
        <v>1.3</v>
      </c>
      <c r="F27" s="263">
        <v>2340000</v>
      </c>
      <c r="G27" s="266" t="e">
        <f>SUM(#REF!)</f>
        <v>#REF!</v>
      </c>
      <c r="H27" s="266" t="e">
        <f>SUM(#REF!)</f>
        <v>#REF!</v>
      </c>
      <c r="I27" s="266" t="e">
        <f>SUM(#REF!)</f>
        <v>#REF!</v>
      </c>
      <c r="J27" s="266" t="e">
        <f>SUM(#REF!)</f>
        <v>#REF!</v>
      </c>
      <c r="K27" s="266" t="e">
        <f>SUM(#REF!)</f>
        <v>#REF!</v>
      </c>
      <c r="L27" s="266" t="e">
        <f>SUM(#REF!)</f>
        <v>#REF!</v>
      </c>
      <c r="M27" s="266" t="e">
        <f>SUM(#REF!)</f>
        <v>#REF!</v>
      </c>
      <c r="N27" s="266" t="e">
        <f>SUM(#REF!)</f>
        <v>#REF!</v>
      </c>
      <c r="O27" s="266" t="e">
        <f>SUM(#REF!)</f>
        <v>#REF!</v>
      </c>
      <c r="P27" s="266" t="e">
        <f>SUM(#REF!)</f>
        <v>#REF!</v>
      </c>
      <c r="Q27" s="266" t="e">
        <f>SUM(#REF!)</f>
        <v>#REF!</v>
      </c>
      <c r="R27" s="266" t="e">
        <f>SUM(#REF!)</f>
        <v>#REF!</v>
      </c>
      <c r="S27" s="266" t="e">
        <f>SUM(#REF!)</f>
        <v>#REF!</v>
      </c>
      <c r="T27" s="266" t="e">
        <f>SUM(#REF!)</f>
        <v>#REF!</v>
      </c>
      <c r="U27" s="266" t="e">
        <f>SUM(#REF!)</f>
        <v>#REF!</v>
      </c>
      <c r="V27" s="266" t="e">
        <f>SUM(#REF!)</f>
        <v>#REF!</v>
      </c>
      <c r="W27" s="266" t="e">
        <f>SUM(#REF!)</f>
        <v>#REF!</v>
      </c>
      <c r="X27" s="266" t="e">
        <f>SUM(#REF!)</f>
        <v>#REF!</v>
      </c>
      <c r="Y27" s="266" t="e">
        <f>SUM(#REF!)</f>
        <v>#REF!</v>
      </c>
      <c r="Z27" s="266" t="e">
        <f>SUM(#REF!)</f>
        <v>#REF!</v>
      </c>
      <c r="AA27" s="266" t="e">
        <f>SUM(#REF!)</f>
        <v>#REF!</v>
      </c>
      <c r="AB27" s="263">
        <v>18</v>
      </c>
      <c r="AC27" s="266">
        <f>+AB27*F27*17%*E27</f>
        <v>9308520.0000000019</v>
      </c>
    </row>
    <row r="28" spans="1:29" s="78" customFormat="1" x14ac:dyDescent="0.25">
      <c r="A28" s="258" t="s">
        <v>3</v>
      </c>
      <c r="B28" s="161" t="s">
        <v>763</v>
      </c>
      <c r="C28" s="161"/>
      <c r="D28" s="257">
        <f>SUM(D29:D47)</f>
        <v>24.700000000000006</v>
      </c>
      <c r="E28" s="257">
        <f>SUM(E29:E47)</f>
        <v>24.700000000000006</v>
      </c>
      <c r="F28" s="257">
        <v>2340000</v>
      </c>
      <c r="G28" s="268"/>
      <c r="H28" s="268"/>
      <c r="I28" s="268"/>
      <c r="J28" s="268"/>
      <c r="K28" s="268"/>
      <c r="L28" s="268"/>
      <c r="M28" s="268"/>
      <c r="N28" s="268"/>
      <c r="O28" s="268"/>
      <c r="P28" s="268"/>
      <c r="Q28" s="268"/>
      <c r="R28" s="268"/>
      <c r="S28" s="268"/>
      <c r="T28" s="268"/>
      <c r="U28" s="268"/>
      <c r="V28" s="268"/>
      <c r="W28" s="268"/>
      <c r="X28" s="268"/>
      <c r="Y28" s="268"/>
      <c r="Z28" s="268"/>
      <c r="AA28" s="268"/>
      <c r="AB28" s="279">
        <v>18</v>
      </c>
      <c r="AC28" s="269">
        <f>+SUM(AC29:AC47)</f>
        <v>176861880.00000003</v>
      </c>
    </row>
    <row r="29" spans="1:29" x14ac:dyDescent="0.25">
      <c r="A29" s="259">
        <v>1</v>
      </c>
      <c r="B29" s="261" t="s">
        <v>764</v>
      </c>
      <c r="C29" s="149" t="s">
        <v>765</v>
      </c>
      <c r="D29" s="262">
        <v>1.3</v>
      </c>
      <c r="E29" s="262">
        <f>+D29</f>
        <v>1.3</v>
      </c>
      <c r="F29" s="263">
        <v>2340000</v>
      </c>
      <c r="G29" s="270"/>
      <c r="H29" s="270"/>
      <c r="I29" s="270"/>
      <c r="J29" s="270"/>
      <c r="K29" s="270"/>
      <c r="L29" s="270"/>
      <c r="M29" s="270"/>
      <c r="N29" s="270"/>
      <c r="O29" s="270"/>
      <c r="P29" s="270"/>
      <c r="Q29" s="270"/>
      <c r="R29" s="270"/>
      <c r="S29" s="270"/>
      <c r="T29" s="270"/>
      <c r="U29" s="270"/>
      <c r="V29" s="270"/>
      <c r="W29" s="270"/>
      <c r="X29" s="270"/>
      <c r="Y29" s="270"/>
      <c r="Z29" s="270"/>
      <c r="AA29" s="270"/>
      <c r="AB29" s="263">
        <v>18</v>
      </c>
      <c r="AC29" s="266">
        <f>+AB29*F29*17%*E29</f>
        <v>9308520.0000000019</v>
      </c>
    </row>
    <row r="30" spans="1:29" x14ac:dyDescent="0.25">
      <c r="A30" s="259">
        <v>2</v>
      </c>
      <c r="B30" s="260" t="s">
        <v>766</v>
      </c>
      <c r="C30" s="149" t="s">
        <v>767</v>
      </c>
      <c r="D30" s="262">
        <v>1.3</v>
      </c>
      <c r="E30" s="262">
        <f t="shared" ref="E30:E47" si="4">+D30</f>
        <v>1.3</v>
      </c>
      <c r="F30" s="263">
        <v>2340000</v>
      </c>
      <c r="G30" s="270"/>
      <c r="H30" s="270"/>
      <c r="I30" s="270"/>
      <c r="J30" s="270"/>
      <c r="K30" s="270"/>
      <c r="L30" s="270"/>
      <c r="M30" s="270"/>
      <c r="N30" s="270"/>
      <c r="O30" s="270"/>
      <c r="P30" s="270"/>
      <c r="Q30" s="270"/>
      <c r="R30" s="270"/>
      <c r="S30" s="270"/>
      <c r="T30" s="270"/>
      <c r="U30" s="270"/>
      <c r="V30" s="270"/>
      <c r="W30" s="270"/>
      <c r="X30" s="270"/>
      <c r="Y30" s="270"/>
      <c r="Z30" s="270"/>
      <c r="AA30" s="270"/>
      <c r="AB30" s="263">
        <v>18</v>
      </c>
      <c r="AC30" s="266">
        <f t="shared" ref="AC30:AC47" si="5">+AB30*F30*17%*E30</f>
        <v>9308520.0000000019</v>
      </c>
    </row>
    <row r="31" spans="1:29" x14ac:dyDescent="0.25">
      <c r="A31" s="259">
        <v>3</v>
      </c>
      <c r="B31" s="261" t="s">
        <v>768</v>
      </c>
      <c r="C31" s="149" t="s">
        <v>769</v>
      </c>
      <c r="D31" s="262">
        <v>1.3</v>
      </c>
      <c r="E31" s="262">
        <f t="shared" si="4"/>
        <v>1.3</v>
      </c>
      <c r="F31" s="263">
        <v>2340000</v>
      </c>
      <c r="G31" s="270"/>
      <c r="H31" s="270"/>
      <c r="I31" s="270"/>
      <c r="J31" s="270"/>
      <c r="K31" s="270"/>
      <c r="L31" s="270"/>
      <c r="M31" s="270"/>
      <c r="N31" s="270"/>
      <c r="O31" s="270"/>
      <c r="P31" s="270"/>
      <c r="Q31" s="270"/>
      <c r="R31" s="270"/>
      <c r="S31" s="270"/>
      <c r="T31" s="270"/>
      <c r="U31" s="270"/>
      <c r="V31" s="270"/>
      <c r="W31" s="270"/>
      <c r="X31" s="270"/>
      <c r="Y31" s="270"/>
      <c r="Z31" s="270"/>
      <c r="AA31" s="270"/>
      <c r="AB31" s="263">
        <v>18</v>
      </c>
      <c r="AC31" s="266">
        <f t="shared" si="5"/>
        <v>9308520.0000000019</v>
      </c>
    </row>
    <row r="32" spans="1:29" x14ac:dyDescent="0.25">
      <c r="A32" s="259">
        <v>4</v>
      </c>
      <c r="B32" s="261" t="s">
        <v>770</v>
      </c>
      <c r="C32" s="149" t="s">
        <v>771</v>
      </c>
      <c r="D32" s="262">
        <v>1.3</v>
      </c>
      <c r="E32" s="262">
        <f t="shared" si="4"/>
        <v>1.3</v>
      </c>
      <c r="F32" s="263">
        <v>2340000</v>
      </c>
      <c r="G32" s="270"/>
      <c r="H32" s="270"/>
      <c r="I32" s="270"/>
      <c r="J32" s="270"/>
      <c r="K32" s="270"/>
      <c r="L32" s="270"/>
      <c r="M32" s="270"/>
      <c r="N32" s="270"/>
      <c r="O32" s="270"/>
      <c r="P32" s="270"/>
      <c r="Q32" s="270"/>
      <c r="R32" s="270"/>
      <c r="S32" s="270"/>
      <c r="T32" s="270"/>
      <c r="U32" s="270"/>
      <c r="V32" s="270"/>
      <c r="W32" s="270"/>
      <c r="X32" s="270"/>
      <c r="Y32" s="270"/>
      <c r="Z32" s="270"/>
      <c r="AA32" s="270"/>
      <c r="AB32" s="263">
        <v>18</v>
      </c>
      <c r="AC32" s="266">
        <f t="shared" si="5"/>
        <v>9308520.0000000019</v>
      </c>
    </row>
    <row r="33" spans="1:29" x14ac:dyDescent="0.25">
      <c r="A33" s="259">
        <v>5</v>
      </c>
      <c r="B33" s="260" t="s">
        <v>772</v>
      </c>
      <c r="C33" s="149" t="s">
        <v>773</v>
      </c>
      <c r="D33" s="262">
        <v>1.3</v>
      </c>
      <c r="E33" s="262">
        <f t="shared" si="4"/>
        <v>1.3</v>
      </c>
      <c r="F33" s="263">
        <v>2340000</v>
      </c>
      <c r="G33" s="270"/>
      <c r="H33" s="270"/>
      <c r="I33" s="270"/>
      <c r="J33" s="270"/>
      <c r="K33" s="270"/>
      <c r="L33" s="270"/>
      <c r="M33" s="270"/>
      <c r="N33" s="270"/>
      <c r="O33" s="270"/>
      <c r="P33" s="270"/>
      <c r="Q33" s="270"/>
      <c r="R33" s="270"/>
      <c r="S33" s="270"/>
      <c r="T33" s="270"/>
      <c r="U33" s="270"/>
      <c r="V33" s="270"/>
      <c r="W33" s="270"/>
      <c r="X33" s="270"/>
      <c r="Y33" s="270"/>
      <c r="Z33" s="270"/>
      <c r="AA33" s="270"/>
      <c r="AB33" s="263">
        <v>18</v>
      </c>
      <c r="AC33" s="266">
        <f t="shared" si="5"/>
        <v>9308520.0000000019</v>
      </c>
    </row>
    <row r="34" spans="1:29" x14ac:dyDescent="0.25">
      <c r="A34" s="259">
        <v>6</v>
      </c>
      <c r="B34" s="261" t="s">
        <v>774</v>
      </c>
      <c r="C34" s="149" t="s">
        <v>775</v>
      </c>
      <c r="D34" s="262">
        <v>1.3</v>
      </c>
      <c r="E34" s="262">
        <f t="shared" si="4"/>
        <v>1.3</v>
      </c>
      <c r="F34" s="263">
        <v>2340000</v>
      </c>
      <c r="G34" s="270"/>
      <c r="H34" s="270"/>
      <c r="I34" s="270"/>
      <c r="J34" s="270"/>
      <c r="K34" s="270"/>
      <c r="L34" s="270"/>
      <c r="M34" s="270"/>
      <c r="N34" s="270"/>
      <c r="O34" s="270"/>
      <c r="P34" s="270"/>
      <c r="Q34" s="270"/>
      <c r="R34" s="270"/>
      <c r="S34" s="270"/>
      <c r="T34" s="270"/>
      <c r="U34" s="270"/>
      <c r="V34" s="270"/>
      <c r="W34" s="270"/>
      <c r="X34" s="270"/>
      <c r="Y34" s="270"/>
      <c r="Z34" s="270"/>
      <c r="AA34" s="270"/>
      <c r="AB34" s="263">
        <v>18</v>
      </c>
      <c r="AC34" s="266">
        <f t="shared" si="5"/>
        <v>9308520.0000000019</v>
      </c>
    </row>
    <row r="35" spans="1:29" x14ac:dyDescent="0.25">
      <c r="A35" s="259">
        <v>7</v>
      </c>
      <c r="B35" s="261" t="s">
        <v>776</v>
      </c>
      <c r="C35" s="149" t="s">
        <v>777</v>
      </c>
      <c r="D35" s="262">
        <v>1.3</v>
      </c>
      <c r="E35" s="262">
        <f t="shared" si="4"/>
        <v>1.3</v>
      </c>
      <c r="F35" s="263">
        <v>2340000</v>
      </c>
      <c r="G35" s="270"/>
      <c r="H35" s="270"/>
      <c r="I35" s="270"/>
      <c r="J35" s="270"/>
      <c r="K35" s="270"/>
      <c r="L35" s="270"/>
      <c r="M35" s="270"/>
      <c r="N35" s="270"/>
      <c r="O35" s="270"/>
      <c r="P35" s="270"/>
      <c r="Q35" s="270"/>
      <c r="R35" s="270"/>
      <c r="S35" s="270"/>
      <c r="T35" s="270"/>
      <c r="U35" s="270"/>
      <c r="V35" s="270"/>
      <c r="W35" s="270"/>
      <c r="X35" s="270"/>
      <c r="Y35" s="270"/>
      <c r="Z35" s="270"/>
      <c r="AA35" s="270"/>
      <c r="AB35" s="263">
        <v>18</v>
      </c>
      <c r="AC35" s="266">
        <f t="shared" si="5"/>
        <v>9308520.0000000019</v>
      </c>
    </row>
    <row r="36" spans="1:29" x14ac:dyDescent="0.25">
      <c r="A36" s="259">
        <v>8</v>
      </c>
      <c r="B36" s="261" t="s">
        <v>778</v>
      </c>
      <c r="C36" s="149" t="s">
        <v>779</v>
      </c>
      <c r="D36" s="262">
        <v>1.3</v>
      </c>
      <c r="E36" s="262">
        <f t="shared" si="4"/>
        <v>1.3</v>
      </c>
      <c r="F36" s="263">
        <v>2340000</v>
      </c>
      <c r="G36" s="270"/>
      <c r="H36" s="270"/>
      <c r="I36" s="270"/>
      <c r="J36" s="270"/>
      <c r="K36" s="270"/>
      <c r="L36" s="270"/>
      <c r="M36" s="270"/>
      <c r="N36" s="270"/>
      <c r="O36" s="270"/>
      <c r="P36" s="270"/>
      <c r="Q36" s="270"/>
      <c r="R36" s="270"/>
      <c r="S36" s="270"/>
      <c r="T36" s="270"/>
      <c r="U36" s="270"/>
      <c r="V36" s="270"/>
      <c r="W36" s="270"/>
      <c r="X36" s="270"/>
      <c r="Y36" s="270"/>
      <c r="Z36" s="270"/>
      <c r="AA36" s="270"/>
      <c r="AB36" s="263">
        <v>18</v>
      </c>
      <c r="AC36" s="266">
        <f t="shared" si="5"/>
        <v>9308520.0000000019</v>
      </c>
    </row>
    <row r="37" spans="1:29" x14ac:dyDescent="0.25">
      <c r="A37" s="259">
        <v>9</v>
      </c>
      <c r="B37" s="261" t="s">
        <v>780</v>
      </c>
      <c r="C37" s="149" t="s">
        <v>781</v>
      </c>
      <c r="D37" s="262">
        <v>1.3</v>
      </c>
      <c r="E37" s="262">
        <f t="shared" si="4"/>
        <v>1.3</v>
      </c>
      <c r="F37" s="263">
        <v>2340000</v>
      </c>
      <c r="G37" s="270"/>
      <c r="H37" s="270"/>
      <c r="I37" s="270"/>
      <c r="J37" s="270"/>
      <c r="K37" s="270"/>
      <c r="L37" s="270"/>
      <c r="M37" s="270"/>
      <c r="N37" s="270"/>
      <c r="O37" s="270"/>
      <c r="P37" s="270"/>
      <c r="Q37" s="270"/>
      <c r="R37" s="270"/>
      <c r="S37" s="270"/>
      <c r="T37" s="270"/>
      <c r="U37" s="270"/>
      <c r="V37" s="270"/>
      <c r="W37" s="270"/>
      <c r="X37" s="270"/>
      <c r="Y37" s="270"/>
      <c r="Z37" s="270"/>
      <c r="AA37" s="270"/>
      <c r="AB37" s="263">
        <v>18</v>
      </c>
      <c r="AC37" s="266">
        <f t="shared" si="5"/>
        <v>9308520.0000000019</v>
      </c>
    </row>
    <row r="38" spans="1:29" x14ac:dyDescent="0.25">
      <c r="A38" s="259">
        <v>10</v>
      </c>
      <c r="B38" s="261" t="s">
        <v>782</v>
      </c>
      <c r="C38" s="149" t="s">
        <v>783</v>
      </c>
      <c r="D38" s="262">
        <v>1.3</v>
      </c>
      <c r="E38" s="262">
        <f t="shared" si="4"/>
        <v>1.3</v>
      </c>
      <c r="F38" s="263">
        <v>2340000</v>
      </c>
      <c r="G38" s="270"/>
      <c r="H38" s="270"/>
      <c r="I38" s="270"/>
      <c r="J38" s="270"/>
      <c r="K38" s="270"/>
      <c r="L38" s="270"/>
      <c r="M38" s="270"/>
      <c r="N38" s="270"/>
      <c r="O38" s="270"/>
      <c r="P38" s="270"/>
      <c r="Q38" s="270"/>
      <c r="R38" s="270"/>
      <c r="S38" s="270"/>
      <c r="T38" s="270"/>
      <c r="U38" s="270"/>
      <c r="V38" s="270"/>
      <c r="W38" s="270"/>
      <c r="X38" s="270"/>
      <c r="Y38" s="270"/>
      <c r="Z38" s="270"/>
      <c r="AA38" s="270"/>
      <c r="AB38" s="263">
        <v>18</v>
      </c>
      <c r="AC38" s="266">
        <f t="shared" si="5"/>
        <v>9308520.0000000019</v>
      </c>
    </row>
    <row r="39" spans="1:29" x14ac:dyDescent="0.25">
      <c r="A39" s="259">
        <v>11</v>
      </c>
      <c r="B39" s="261" t="s">
        <v>784</v>
      </c>
      <c r="C39" s="149" t="s">
        <v>785</v>
      </c>
      <c r="D39" s="262">
        <v>1.3</v>
      </c>
      <c r="E39" s="262">
        <f t="shared" si="4"/>
        <v>1.3</v>
      </c>
      <c r="F39" s="263">
        <v>2340000</v>
      </c>
      <c r="G39" s="270"/>
      <c r="H39" s="270"/>
      <c r="I39" s="270"/>
      <c r="J39" s="270"/>
      <c r="K39" s="270"/>
      <c r="L39" s="270"/>
      <c r="M39" s="270"/>
      <c r="N39" s="270"/>
      <c r="O39" s="270"/>
      <c r="P39" s="270"/>
      <c r="Q39" s="270"/>
      <c r="R39" s="270"/>
      <c r="S39" s="270"/>
      <c r="T39" s="270"/>
      <c r="U39" s="270"/>
      <c r="V39" s="270"/>
      <c r="W39" s="270"/>
      <c r="X39" s="270"/>
      <c r="Y39" s="270"/>
      <c r="Z39" s="270"/>
      <c r="AA39" s="270"/>
      <c r="AB39" s="263">
        <v>18</v>
      </c>
      <c r="AC39" s="266">
        <f t="shared" si="5"/>
        <v>9308520.0000000019</v>
      </c>
    </row>
    <row r="40" spans="1:29" x14ac:dyDescent="0.25">
      <c r="A40" s="259">
        <v>12</v>
      </c>
      <c r="B40" s="261" t="s">
        <v>786</v>
      </c>
      <c r="C40" s="149" t="s">
        <v>787</v>
      </c>
      <c r="D40" s="262">
        <v>1.3</v>
      </c>
      <c r="E40" s="262">
        <f t="shared" si="4"/>
        <v>1.3</v>
      </c>
      <c r="F40" s="263">
        <v>2340000</v>
      </c>
      <c r="G40" s="270"/>
      <c r="H40" s="270"/>
      <c r="I40" s="270"/>
      <c r="J40" s="270"/>
      <c r="K40" s="270"/>
      <c r="L40" s="270"/>
      <c r="M40" s="270"/>
      <c r="N40" s="270"/>
      <c r="O40" s="270"/>
      <c r="P40" s="270"/>
      <c r="Q40" s="270"/>
      <c r="R40" s="270"/>
      <c r="S40" s="270"/>
      <c r="T40" s="270"/>
      <c r="U40" s="270"/>
      <c r="V40" s="270"/>
      <c r="W40" s="270"/>
      <c r="X40" s="270"/>
      <c r="Y40" s="270"/>
      <c r="Z40" s="270"/>
      <c r="AA40" s="270"/>
      <c r="AB40" s="263">
        <v>18</v>
      </c>
      <c r="AC40" s="266">
        <f t="shared" si="5"/>
        <v>9308520.0000000019</v>
      </c>
    </row>
    <row r="41" spans="1:29" x14ac:dyDescent="0.25">
      <c r="A41" s="259">
        <v>13</v>
      </c>
      <c r="B41" s="260" t="s">
        <v>788</v>
      </c>
      <c r="C41" s="149" t="s">
        <v>789</v>
      </c>
      <c r="D41" s="262">
        <v>1.3</v>
      </c>
      <c r="E41" s="262">
        <f t="shared" si="4"/>
        <v>1.3</v>
      </c>
      <c r="F41" s="263">
        <v>2340000</v>
      </c>
      <c r="G41" s="270"/>
      <c r="H41" s="270"/>
      <c r="I41" s="270"/>
      <c r="J41" s="270"/>
      <c r="K41" s="270"/>
      <c r="L41" s="270"/>
      <c r="M41" s="270"/>
      <c r="N41" s="270"/>
      <c r="O41" s="270"/>
      <c r="P41" s="270"/>
      <c r="Q41" s="270"/>
      <c r="R41" s="270"/>
      <c r="S41" s="270"/>
      <c r="T41" s="270"/>
      <c r="U41" s="270"/>
      <c r="V41" s="270"/>
      <c r="W41" s="270"/>
      <c r="X41" s="270"/>
      <c r="Y41" s="270"/>
      <c r="Z41" s="270"/>
      <c r="AA41" s="270"/>
      <c r="AB41" s="263">
        <v>18</v>
      </c>
      <c r="AC41" s="266">
        <f t="shared" si="5"/>
        <v>9308520.0000000019</v>
      </c>
    </row>
    <row r="42" spans="1:29" x14ac:dyDescent="0.25">
      <c r="A42" s="259">
        <v>14</v>
      </c>
      <c r="B42" s="261" t="s">
        <v>790</v>
      </c>
      <c r="C42" s="271" t="s">
        <v>791</v>
      </c>
      <c r="D42" s="262">
        <v>1.3</v>
      </c>
      <c r="E42" s="262">
        <f t="shared" si="4"/>
        <v>1.3</v>
      </c>
      <c r="F42" s="263">
        <v>2340000</v>
      </c>
      <c r="G42" s="270"/>
      <c r="H42" s="270"/>
      <c r="I42" s="270"/>
      <c r="J42" s="270"/>
      <c r="K42" s="270"/>
      <c r="L42" s="270"/>
      <c r="M42" s="270"/>
      <c r="N42" s="270"/>
      <c r="O42" s="270"/>
      <c r="P42" s="270"/>
      <c r="Q42" s="270"/>
      <c r="R42" s="270"/>
      <c r="S42" s="270"/>
      <c r="T42" s="270"/>
      <c r="U42" s="270"/>
      <c r="V42" s="270"/>
      <c r="W42" s="270"/>
      <c r="X42" s="270"/>
      <c r="Y42" s="270"/>
      <c r="Z42" s="270"/>
      <c r="AA42" s="270"/>
      <c r="AB42" s="263">
        <v>18</v>
      </c>
      <c r="AC42" s="266">
        <f t="shared" si="5"/>
        <v>9308520.0000000019</v>
      </c>
    </row>
    <row r="43" spans="1:29" x14ac:dyDescent="0.25">
      <c r="A43" s="259">
        <v>15</v>
      </c>
      <c r="B43" s="261" t="s">
        <v>792</v>
      </c>
      <c r="C43" s="149" t="s">
        <v>793</v>
      </c>
      <c r="D43" s="262">
        <v>1.3</v>
      </c>
      <c r="E43" s="262">
        <f t="shared" si="4"/>
        <v>1.3</v>
      </c>
      <c r="F43" s="263">
        <v>2340000</v>
      </c>
      <c r="G43" s="270"/>
      <c r="H43" s="270"/>
      <c r="I43" s="270"/>
      <c r="J43" s="270"/>
      <c r="K43" s="270"/>
      <c r="L43" s="270"/>
      <c r="M43" s="270"/>
      <c r="N43" s="270"/>
      <c r="O43" s="270"/>
      <c r="P43" s="270"/>
      <c r="Q43" s="270"/>
      <c r="R43" s="270"/>
      <c r="S43" s="270"/>
      <c r="T43" s="270"/>
      <c r="U43" s="270"/>
      <c r="V43" s="270"/>
      <c r="W43" s="270"/>
      <c r="X43" s="270"/>
      <c r="Y43" s="270"/>
      <c r="Z43" s="270"/>
      <c r="AA43" s="270"/>
      <c r="AB43" s="263">
        <v>18</v>
      </c>
      <c r="AC43" s="266">
        <f t="shared" si="5"/>
        <v>9308520.0000000019</v>
      </c>
    </row>
    <row r="44" spans="1:29" x14ac:dyDescent="0.25">
      <c r="A44" s="259">
        <v>16</v>
      </c>
      <c r="B44" s="260" t="s">
        <v>794</v>
      </c>
      <c r="C44" s="149" t="s">
        <v>795</v>
      </c>
      <c r="D44" s="262">
        <v>1.3</v>
      </c>
      <c r="E44" s="262">
        <f t="shared" si="4"/>
        <v>1.3</v>
      </c>
      <c r="F44" s="263">
        <v>2340000</v>
      </c>
      <c r="G44" s="270"/>
      <c r="H44" s="270"/>
      <c r="I44" s="270"/>
      <c r="J44" s="270"/>
      <c r="K44" s="270"/>
      <c r="L44" s="270"/>
      <c r="M44" s="270"/>
      <c r="N44" s="270"/>
      <c r="O44" s="270"/>
      <c r="P44" s="270"/>
      <c r="Q44" s="270"/>
      <c r="R44" s="270"/>
      <c r="S44" s="270"/>
      <c r="T44" s="270"/>
      <c r="U44" s="270"/>
      <c r="V44" s="270"/>
      <c r="W44" s="270"/>
      <c r="X44" s="270"/>
      <c r="Y44" s="270"/>
      <c r="Z44" s="270"/>
      <c r="AA44" s="270"/>
      <c r="AB44" s="263">
        <v>18</v>
      </c>
      <c r="AC44" s="266">
        <f t="shared" si="5"/>
        <v>9308520.0000000019</v>
      </c>
    </row>
    <row r="45" spans="1:29" x14ac:dyDescent="0.25">
      <c r="A45" s="259">
        <v>17</v>
      </c>
      <c r="B45" s="261" t="s">
        <v>796</v>
      </c>
      <c r="C45" s="149" t="s">
        <v>797</v>
      </c>
      <c r="D45" s="262">
        <v>1.3</v>
      </c>
      <c r="E45" s="262">
        <f t="shared" si="4"/>
        <v>1.3</v>
      </c>
      <c r="F45" s="263">
        <v>2340000</v>
      </c>
      <c r="G45" s="270"/>
      <c r="H45" s="270"/>
      <c r="I45" s="270"/>
      <c r="J45" s="270"/>
      <c r="K45" s="270"/>
      <c r="L45" s="270"/>
      <c r="M45" s="270"/>
      <c r="N45" s="270"/>
      <c r="O45" s="270"/>
      <c r="P45" s="270"/>
      <c r="Q45" s="270"/>
      <c r="R45" s="270"/>
      <c r="S45" s="270"/>
      <c r="T45" s="270"/>
      <c r="U45" s="270"/>
      <c r="V45" s="270"/>
      <c r="W45" s="270"/>
      <c r="X45" s="270"/>
      <c r="Y45" s="270"/>
      <c r="Z45" s="270"/>
      <c r="AA45" s="270"/>
      <c r="AB45" s="263">
        <v>18</v>
      </c>
      <c r="AC45" s="266">
        <f t="shared" si="5"/>
        <v>9308520.0000000019</v>
      </c>
    </row>
    <row r="46" spans="1:29" x14ac:dyDescent="0.25">
      <c r="A46" s="259">
        <v>18</v>
      </c>
      <c r="B46" s="272" t="s">
        <v>798</v>
      </c>
      <c r="C46" s="149" t="s">
        <v>799</v>
      </c>
      <c r="D46" s="262">
        <v>1.3</v>
      </c>
      <c r="E46" s="262">
        <f t="shared" si="4"/>
        <v>1.3</v>
      </c>
      <c r="F46" s="263">
        <v>2340000</v>
      </c>
      <c r="G46" s="270"/>
      <c r="H46" s="270"/>
      <c r="I46" s="270"/>
      <c r="J46" s="270"/>
      <c r="K46" s="270"/>
      <c r="L46" s="270"/>
      <c r="M46" s="270"/>
      <c r="N46" s="270"/>
      <c r="O46" s="270"/>
      <c r="P46" s="270"/>
      <c r="Q46" s="270"/>
      <c r="R46" s="270"/>
      <c r="S46" s="270"/>
      <c r="T46" s="270"/>
      <c r="U46" s="270"/>
      <c r="V46" s="270"/>
      <c r="W46" s="270"/>
      <c r="X46" s="270"/>
      <c r="Y46" s="270"/>
      <c r="Z46" s="270"/>
      <c r="AA46" s="270"/>
      <c r="AB46" s="263">
        <v>18</v>
      </c>
      <c r="AC46" s="266">
        <f t="shared" si="5"/>
        <v>9308520.0000000019</v>
      </c>
    </row>
    <row r="47" spans="1:29" x14ac:dyDescent="0.25">
      <c r="A47" s="273">
        <v>19</v>
      </c>
      <c r="B47" s="162" t="s">
        <v>800</v>
      </c>
      <c r="C47" s="149" t="s">
        <v>801</v>
      </c>
      <c r="D47" s="262">
        <v>1.3</v>
      </c>
      <c r="E47" s="262">
        <f t="shared" si="4"/>
        <v>1.3</v>
      </c>
      <c r="F47" s="263">
        <v>2340000</v>
      </c>
      <c r="G47" s="270"/>
      <c r="H47" s="270"/>
      <c r="I47" s="270"/>
      <c r="J47" s="270"/>
      <c r="K47" s="270"/>
      <c r="L47" s="270"/>
      <c r="M47" s="270"/>
      <c r="N47" s="270"/>
      <c r="O47" s="270"/>
      <c r="P47" s="270"/>
      <c r="Q47" s="270"/>
      <c r="R47" s="270"/>
      <c r="S47" s="270"/>
      <c r="T47" s="270"/>
      <c r="U47" s="270"/>
      <c r="V47" s="270"/>
      <c r="W47" s="270"/>
      <c r="X47" s="270"/>
      <c r="Y47" s="270"/>
      <c r="Z47" s="270"/>
      <c r="AA47" s="270"/>
      <c r="AB47" s="263">
        <v>18</v>
      </c>
      <c r="AC47" s="266">
        <f t="shared" si="5"/>
        <v>9308520.0000000019</v>
      </c>
    </row>
    <row r="48" spans="1:29" s="78" customFormat="1" ht="25.5" x14ac:dyDescent="0.25">
      <c r="A48" s="258" t="s">
        <v>4</v>
      </c>
      <c r="B48" s="161" t="s">
        <v>802</v>
      </c>
      <c r="C48" s="161"/>
      <c r="D48" s="274">
        <f>SUM(D49:D64)</f>
        <v>17.599999999999998</v>
      </c>
      <c r="E48" s="274">
        <f>SUM(E49:E64)</f>
        <v>17.599999999999998</v>
      </c>
      <c r="F48" s="274">
        <v>2340000</v>
      </c>
      <c r="G48" s="268"/>
      <c r="H48" s="268"/>
      <c r="I48" s="268"/>
      <c r="J48" s="268"/>
      <c r="K48" s="268"/>
      <c r="L48" s="268"/>
      <c r="M48" s="268"/>
      <c r="N48" s="268"/>
      <c r="O48" s="268"/>
      <c r="P48" s="268"/>
      <c r="Q48" s="268"/>
      <c r="R48" s="268"/>
      <c r="S48" s="268"/>
      <c r="T48" s="268"/>
      <c r="U48" s="268"/>
      <c r="V48" s="268"/>
      <c r="W48" s="268"/>
      <c r="X48" s="268"/>
      <c r="Y48" s="268"/>
      <c r="Z48" s="268"/>
      <c r="AA48" s="268"/>
      <c r="AB48" s="279">
        <v>18</v>
      </c>
      <c r="AC48" s="269">
        <f>+SUM(AC49:AC64)</f>
        <v>126023040.00000001</v>
      </c>
    </row>
    <row r="49" spans="1:29" x14ac:dyDescent="0.25">
      <c r="A49" s="273">
        <v>1</v>
      </c>
      <c r="B49" s="275" t="s">
        <v>803</v>
      </c>
      <c r="C49" s="271" t="s">
        <v>773</v>
      </c>
      <c r="D49" s="276">
        <v>1.1000000000000001</v>
      </c>
      <c r="E49" s="276">
        <v>1.1000000000000001</v>
      </c>
      <c r="F49" s="270">
        <v>2340000</v>
      </c>
      <c r="G49" s="270"/>
      <c r="H49" s="270"/>
      <c r="I49" s="270"/>
      <c r="J49" s="270"/>
      <c r="K49" s="270"/>
      <c r="L49" s="270"/>
      <c r="M49" s="270"/>
      <c r="N49" s="270"/>
      <c r="O49" s="270"/>
      <c r="P49" s="270"/>
      <c r="Q49" s="270"/>
      <c r="R49" s="270"/>
      <c r="S49" s="270"/>
      <c r="T49" s="270"/>
      <c r="U49" s="270"/>
      <c r="V49" s="270"/>
      <c r="W49" s="270"/>
      <c r="X49" s="270"/>
      <c r="Y49" s="270"/>
      <c r="Z49" s="270"/>
      <c r="AA49" s="270"/>
      <c r="AB49" s="263">
        <v>18</v>
      </c>
      <c r="AC49" s="266">
        <f>+AB49*F49*17%*E49</f>
        <v>7876440.0000000019</v>
      </c>
    </row>
    <row r="50" spans="1:29" x14ac:dyDescent="0.25">
      <c r="A50" s="273">
        <v>2</v>
      </c>
      <c r="B50" s="275" t="s">
        <v>804</v>
      </c>
      <c r="C50" s="271" t="s">
        <v>769</v>
      </c>
      <c r="D50" s="276">
        <v>1.1000000000000001</v>
      </c>
      <c r="E50" s="276">
        <v>1.1000000000000001</v>
      </c>
      <c r="F50" s="270">
        <v>2340000</v>
      </c>
      <c r="G50" s="270"/>
      <c r="H50" s="270"/>
      <c r="I50" s="270"/>
      <c r="J50" s="270"/>
      <c r="K50" s="270"/>
      <c r="L50" s="270"/>
      <c r="M50" s="270"/>
      <c r="N50" s="270"/>
      <c r="O50" s="270"/>
      <c r="P50" s="270"/>
      <c r="Q50" s="270"/>
      <c r="R50" s="270"/>
      <c r="S50" s="270"/>
      <c r="T50" s="270"/>
      <c r="U50" s="270"/>
      <c r="V50" s="270"/>
      <c r="W50" s="270"/>
      <c r="X50" s="270"/>
      <c r="Y50" s="270"/>
      <c r="Z50" s="270"/>
      <c r="AA50" s="270"/>
      <c r="AB50" s="263">
        <v>18</v>
      </c>
      <c r="AC50" s="266">
        <f t="shared" ref="AC50:AC64" si="6">+AB50*F50*17%*E50</f>
        <v>7876440.0000000019</v>
      </c>
    </row>
    <row r="51" spans="1:29" x14ac:dyDescent="0.25">
      <c r="A51" s="273">
        <v>3</v>
      </c>
      <c r="B51" s="275" t="s">
        <v>805</v>
      </c>
      <c r="C51" s="271" t="s">
        <v>806</v>
      </c>
      <c r="D51" s="276">
        <v>1.1000000000000001</v>
      </c>
      <c r="E51" s="276">
        <v>1.1000000000000001</v>
      </c>
      <c r="F51" s="270">
        <v>2340000</v>
      </c>
      <c r="G51" s="270"/>
      <c r="H51" s="270"/>
      <c r="I51" s="270"/>
      <c r="J51" s="270"/>
      <c r="K51" s="270"/>
      <c r="L51" s="270"/>
      <c r="M51" s="270"/>
      <c r="N51" s="270"/>
      <c r="O51" s="270"/>
      <c r="P51" s="270"/>
      <c r="Q51" s="270"/>
      <c r="R51" s="270"/>
      <c r="S51" s="270"/>
      <c r="T51" s="270"/>
      <c r="U51" s="270"/>
      <c r="V51" s="270"/>
      <c r="W51" s="270"/>
      <c r="X51" s="270"/>
      <c r="Y51" s="270"/>
      <c r="Z51" s="270"/>
      <c r="AA51" s="270"/>
      <c r="AB51" s="263">
        <v>18</v>
      </c>
      <c r="AC51" s="266">
        <f t="shared" si="6"/>
        <v>7876440.0000000019</v>
      </c>
    </row>
    <row r="52" spans="1:29" x14ac:dyDescent="0.25">
      <c r="A52" s="273">
        <v>4</v>
      </c>
      <c r="B52" s="275" t="s">
        <v>807</v>
      </c>
      <c r="C52" s="271" t="s">
        <v>765</v>
      </c>
      <c r="D52" s="276">
        <v>1.1000000000000001</v>
      </c>
      <c r="E52" s="276">
        <v>1.1000000000000001</v>
      </c>
      <c r="F52" s="270">
        <v>2340000</v>
      </c>
      <c r="G52" s="270"/>
      <c r="H52" s="270"/>
      <c r="I52" s="270"/>
      <c r="J52" s="270"/>
      <c r="K52" s="270"/>
      <c r="L52" s="270"/>
      <c r="M52" s="270"/>
      <c r="N52" s="270"/>
      <c r="O52" s="270"/>
      <c r="P52" s="270"/>
      <c r="Q52" s="270"/>
      <c r="R52" s="270"/>
      <c r="S52" s="270"/>
      <c r="T52" s="270"/>
      <c r="U52" s="270"/>
      <c r="V52" s="270"/>
      <c r="W52" s="270"/>
      <c r="X52" s="270"/>
      <c r="Y52" s="270"/>
      <c r="Z52" s="270"/>
      <c r="AA52" s="270"/>
      <c r="AB52" s="263">
        <v>18</v>
      </c>
      <c r="AC52" s="266">
        <f t="shared" si="6"/>
        <v>7876440.0000000019</v>
      </c>
    </row>
    <row r="53" spans="1:29" x14ac:dyDescent="0.25">
      <c r="A53" s="273">
        <v>5</v>
      </c>
      <c r="B53" s="275" t="s">
        <v>808</v>
      </c>
      <c r="C53" s="271" t="s">
        <v>809</v>
      </c>
      <c r="D53" s="276">
        <v>1.1000000000000001</v>
      </c>
      <c r="E53" s="276">
        <v>1.1000000000000001</v>
      </c>
      <c r="F53" s="270">
        <v>2340000</v>
      </c>
      <c r="G53" s="270"/>
      <c r="H53" s="270"/>
      <c r="I53" s="270"/>
      <c r="J53" s="270"/>
      <c r="K53" s="270"/>
      <c r="L53" s="270"/>
      <c r="M53" s="270"/>
      <c r="N53" s="270"/>
      <c r="O53" s="270"/>
      <c r="P53" s="270"/>
      <c r="Q53" s="270"/>
      <c r="R53" s="270"/>
      <c r="S53" s="270"/>
      <c r="T53" s="270"/>
      <c r="U53" s="270"/>
      <c r="V53" s="270"/>
      <c r="W53" s="270"/>
      <c r="X53" s="270"/>
      <c r="Y53" s="270"/>
      <c r="Z53" s="270"/>
      <c r="AA53" s="270"/>
      <c r="AB53" s="263">
        <v>18</v>
      </c>
      <c r="AC53" s="266">
        <f t="shared" si="6"/>
        <v>7876440.0000000019</v>
      </c>
    </row>
    <row r="54" spans="1:29" x14ac:dyDescent="0.25">
      <c r="A54" s="273">
        <v>6</v>
      </c>
      <c r="B54" s="277" t="s">
        <v>810</v>
      </c>
      <c r="C54" s="271" t="s">
        <v>771</v>
      </c>
      <c r="D54" s="276">
        <v>1.1000000000000001</v>
      </c>
      <c r="E54" s="276">
        <v>1.1000000000000001</v>
      </c>
      <c r="F54" s="270">
        <v>2340000</v>
      </c>
      <c r="G54" s="270"/>
      <c r="H54" s="270"/>
      <c r="I54" s="270"/>
      <c r="J54" s="270"/>
      <c r="K54" s="270"/>
      <c r="L54" s="270"/>
      <c r="M54" s="270"/>
      <c r="N54" s="270"/>
      <c r="O54" s="270"/>
      <c r="P54" s="270"/>
      <c r="Q54" s="270"/>
      <c r="R54" s="270"/>
      <c r="S54" s="270"/>
      <c r="T54" s="270"/>
      <c r="U54" s="270"/>
      <c r="V54" s="270"/>
      <c r="W54" s="270"/>
      <c r="X54" s="270"/>
      <c r="Y54" s="270"/>
      <c r="Z54" s="270"/>
      <c r="AA54" s="270"/>
      <c r="AB54" s="263">
        <v>18</v>
      </c>
      <c r="AC54" s="266">
        <f t="shared" si="6"/>
        <v>7876440.0000000019</v>
      </c>
    </row>
    <row r="55" spans="1:29" x14ac:dyDescent="0.25">
      <c r="A55" s="273">
        <v>7</v>
      </c>
      <c r="B55" s="275" t="s">
        <v>811</v>
      </c>
      <c r="C55" s="271" t="s">
        <v>812</v>
      </c>
      <c r="D55" s="276">
        <v>1.1000000000000001</v>
      </c>
      <c r="E55" s="276">
        <v>1.1000000000000001</v>
      </c>
      <c r="F55" s="270">
        <v>2340000</v>
      </c>
      <c r="G55" s="270"/>
      <c r="H55" s="270"/>
      <c r="I55" s="270"/>
      <c r="J55" s="270"/>
      <c r="K55" s="270"/>
      <c r="L55" s="270"/>
      <c r="M55" s="270"/>
      <c r="N55" s="270"/>
      <c r="O55" s="270"/>
      <c r="P55" s="270"/>
      <c r="Q55" s="270"/>
      <c r="R55" s="270"/>
      <c r="S55" s="270"/>
      <c r="T55" s="270"/>
      <c r="U55" s="270"/>
      <c r="V55" s="270"/>
      <c r="W55" s="270"/>
      <c r="X55" s="270"/>
      <c r="Y55" s="270"/>
      <c r="Z55" s="270"/>
      <c r="AA55" s="270"/>
      <c r="AB55" s="263">
        <v>18</v>
      </c>
      <c r="AC55" s="266">
        <f t="shared" si="6"/>
        <v>7876440.0000000019</v>
      </c>
    </row>
    <row r="56" spans="1:29" x14ac:dyDescent="0.25">
      <c r="A56" s="273">
        <v>8</v>
      </c>
      <c r="B56" s="277" t="s">
        <v>813</v>
      </c>
      <c r="C56" s="271" t="s">
        <v>791</v>
      </c>
      <c r="D56" s="276">
        <v>1.1000000000000001</v>
      </c>
      <c r="E56" s="276">
        <v>1.1000000000000001</v>
      </c>
      <c r="F56" s="270">
        <v>2340000</v>
      </c>
      <c r="G56" s="270"/>
      <c r="H56" s="270"/>
      <c r="I56" s="270"/>
      <c r="J56" s="270"/>
      <c r="K56" s="270"/>
      <c r="L56" s="270"/>
      <c r="M56" s="270"/>
      <c r="N56" s="270"/>
      <c r="O56" s="270"/>
      <c r="P56" s="270"/>
      <c r="Q56" s="270"/>
      <c r="R56" s="270"/>
      <c r="S56" s="270"/>
      <c r="T56" s="270"/>
      <c r="U56" s="270"/>
      <c r="V56" s="270"/>
      <c r="W56" s="270"/>
      <c r="X56" s="270"/>
      <c r="Y56" s="270"/>
      <c r="Z56" s="270"/>
      <c r="AA56" s="270"/>
      <c r="AB56" s="263">
        <v>18</v>
      </c>
      <c r="AC56" s="266">
        <f t="shared" si="6"/>
        <v>7876440.0000000019</v>
      </c>
    </row>
    <row r="57" spans="1:29" x14ac:dyDescent="0.25">
      <c r="A57" s="273">
        <v>11</v>
      </c>
      <c r="B57" s="277" t="s">
        <v>814</v>
      </c>
      <c r="C57" s="271" t="s">
        <v>815</v>
      </c>
      <c r="D57" s="276">
        <v>1.1000000000000001</v>
      </c>
      <c r="E57" s="276">
        <v>1.1000000000000001</v>
      </c>
      <c r="F57" s="270">
        <v>2340000</v>
      </c>
      <c r="G57" s="270"/>
      <c r="H57" s="270"/>
      <c r="I57" s="270"/>
      <c r="J57" s="270"/>
      <c r="K57" s="270"/>
      <c r="L57" s="270"/>
      <c r="M57" s="270"/>
      <c r="N57" s="270"/>
      <c r="O57" s="270"/>
      <c r="P57" s="270"/>
      <c r="Q57" s="270"/>
      <c r="R57" s="270"/>
      <c r="S57" s="270"/>
      <c r="T57" s="270"/>
      <c r="U57" s="270"/>
      <c r="V57" s="270"/>
      <c r="W57" s="270"/>
      <c r="X57" s="270"/>
      <c r="Y57" s="270"/>
      <c r="Z57" s="270"/>
      <c r="AA57" s="270"/>
      <c r="AB57" s="263">
        <v>18</v>
      </c>
      <c r="AC57" s="266">
        <f t="shared" si="6"/>
        <v>7876440.0000000019</v>
      </c>
    </row>
    <row r="58" spans="1:29" x14ac:dyDescent="0.25">
      <c r="A58" s="273">
        <v>12</v>
      </c>
      <c r="B58" s="275" t="s">
        <v>816</v>
      </c>
      <c r="C58" s="271" t="s">
        <v>775</v>
      </c>
      <c r="D58" s="276">
        <v>1.1000000000000001</v>
      </c>
      <c r="E58" s="276">
        <v>1.1000000000000001</v>
      </c>
      <c r="F58" s="270">
        <v>2340000</v>
      </c>
      <c r="G58" s="270"/>
      <c r="H58" s="270"/>
      <c r="I58" s="270"/>
      <c r="J58" s="270"/>
      <c r="K58" s="270"/>
      <c r="L58" s="270"/>
      <c r="M58" s="270"/>
      <c r="N58" s="270"/>
      <c r="O58" s="270"/>
      <c r="P58" s="270"/>
      <c r="Q58" s="270"/>
      <c r="R58" s="270"/>
      <c r="S58" s="270"/>
      <c r="T58" s="270"/>
      <c r="U58" s="270"/>
      <c r="V58" s="270"/>
      <c r="W58" s="270"/>
      <c r="X58" s="270"/>
      <c r="Y58" s="270"/>
      <c r="Z58" s="270"/>
      <c r="AA58" s="270"/>
      <c r="AB58" s="263">
        <v>18</v>
      </c>
      <c r="AC58" s="266">
        <f t="shared" si="6"/>
        <v>7876440.0000000019</v>
      </c>
    </row>
    <row r="59" spans="1:29" x14ac:dyDescent="0.25">
      <c r="A59" s="273">
        <v>13</v>
      </c>
      <c r="B59" s="277" t="s">
        <v>817</v>
      </c>
      <c r="C59" s="271" t="s">
        <v>779</v>
      </c>
      <c r="D59" s="276">
        <v>1.1000000000000001</v>
      </c>
      <c r="E59" s="276">
        <v>1.1000000000000001</v>
      </c>
      <c r="F59" s="270">
        <v>2340000</v>
      </c>
      <c r="G59" s="270"/>
      <c r="H59" s="270"/>
      <c r="I59" s="270"/>
      <c r="J59" s="270"/>
      <c r="K59" s="270"/>
      <c r="L59" s="270"/>
      <c r="M59" s="270"/>
      <c r="N59" s="270"/>
      <c r="O59" s="270"/>
      <c r="P59" s="270"/>
      <c r="Q59" s="270"/>
      <c r="R59" s="270"/>
      <c r="S59" s="270"/>
      <c r="T59" s="270"/>
      <c r="U59" s="270"/>
      <c r="V59" s="270"/>
      <c r="W59" s="270"/>
      <c r="X59" s="270"/>
      <c r="Y59" s="270"/>
      <c r="Z59" s="270"/>
      <c r="AA59" s="270"/>
      <c r="AB59" s="263">
        <v>18</v>
      </c>
      <c r="AC59" s="266">
        <f t="shared" si="6"/>
        <v>7876440.0000000019</v>
      </c>
    </row>
    <row r="60" spans="1:29" x14ac:dyDescent="0.25">
      <c r="A60" s="273">
        <v>15</v>
      </c>
      <c r="B60" s="275" t="s">
        <v>818</v>
      </c>
      <c r="C60" s="271" t="s">
        <v>783</v>
      </c>
      <c r="D60" s="276">
        <v>1.1000000000000001</v>
      </c>
      <c r="E60" s="276">
        <v>1.1000000000000001</v>
      </c>
      <c r="F60" s="270">
        <v>2340000</v>
      </c>
      <c r="G60" s="270"/>
      <c r="H60" s="270"/>
      <c r="I60" s="270"/>
      <c r="J60" s="270"/>
      <c r="K60" s="270"/>
      <c r="L60" s="270"/>
      <c r="M60" s="270"/>
      <c r="N60" s="270"/>
      <c r="O60" s="270"/>
      <c r="P60" s="270"/>
      <c r="Q60" s="270"/>
      <c r="R60" s="270"/>
      <c r="S60" s="270"/>
      <c r="T60" s="270"/>
      <c r="U60" s="270"/>
      <c r="V60" s="270"/>
      <c r="W60" s="270"/>
      <c r="X60" s="270"/>
      <c r="Y60" s="270"/>
      <c r="Z60" s="270"/>
      <c r="AA60" s="270"/>
      <c r="AB60" s="263">
        <v>18</v>
      </c>
      <c r="AC60" s="266">
        <f t="shared" si="6"/>
        <v>7876440.0000000019</v>
      </c>
    </row>
    <row r="61" spans="1:29" x14ac:dyDescent="0.25">
      <c r="A61" s="273">
        <v>16</v>
      </c>
      <c r="B61" s="275" t="s">
        <v>819</v>
      </c>
      <c r="C61" s="271" t="s">
        <v>785</v>
      </c>
      <c r="D61" s="276">
        <v>1.1000000000000001</v>
      </c>
      <c r="E61" s="276">
        <v>1.1000000000000001</v>
      </c>
      <c r="F61" s="270">
        <v>2340000</v>
      </c>
      <c r="G61" s="270"/>
      <c r="H61" s="270"/>
      <c r="I61" s="270"/>
      <c r="J61" s="270"/>
      <c r="K61" s="270"/>
      <c r="L61" s="270"/>
      <c r="M61" s="270"/>
      <c r="N61" s="270"/>
      <c r="O61" s="270"/>
      <c r="P61" s="270"/>
      <c r="Q61" s="270"/>
      <c r="R61" s="270"/>
      <c r="S61" s="270"/>
      <c r="T61" s="270"/>
      <c r="U61" s="270"/>
      <c r="V61" s="270"/>
      <c r="W61" s="270"/>
      <c r="X61" s="270"/>
      <c r="Y61" s="270"/>
      <c r="Z61" s="270"/>
      <c r="AA61" s="270"/>
      <c r="AB61" s="263">
        <v>18</v>
      </c>
      <c r="AC61" s="266">
        <f t="shared" si="6"/>
        <v>7876440.0000000019</v>
      </c>
    </row>
    <row r="62" spans="1:29" x14ac:dyDescent="0.25">
      <c r="A62" s="273">
        <v>19</v>
      </c>
      <c r="B62" s="275" t="s">
        <v>820</v>
      </c>
      <c r="C62" s="271" t="s">
        <v>789</v>
      </c>
      <c r="D62" s="276">
        <v>1.1000000000000001</v>
      </c>
      <c r="E62" s="276">
        <v>1.1000000000000001</v>
      </c>
      <c r="F62" s="270">
        <v>2340000</v>
      </c>
      <c r="G62" s="270"/>
      <c r="H62" s="270"/>
      <c r="I62" s="270"/>
      <c r="J62" s="270"/>
      <c r="K62" s="270"/>
      <c r="L62" s="270"/>
      <c r="M62" s="270"/>
      <c r="N62" s="270"/>
      <c r="O62" s="270"/>
      <c r="P62" s="270"/>
      <c r="Q62" s="270"/>
      <c r="R62" s="270"/>
      <c r="S62" s="270"/>
      <c r="T62" s="270"/>
      <c r="U62" s="270"/>
      <c r="V62" s="270"/>
      <c r="W62" s="270"/>
      <c r="X62" s="270"/>
      <c r="Y62" s="270"/>
      <c r="Z62" s="270"/>
      <c r="AA62" s="270"/>
      <c r="AB62" s="263">
        <v>18</v>
      </c>
      <c r="AC62" s="266">
        <f t="shared" si="6"/>
        <v>7876440.0000000019</v>
      </c>
    </row>
    <row r="63" spans="1:29" x14ac:dyDescent="0.25">
      <c r="A63" s="273">
        <v>20</v>
      </c>
      <c r="B63" s="275" t="s">
        <v>821</v>
      </c>
      <c r="C63" s="271" t="s">
        <v>777</v>
      </c>
      <c r="D63" s="276">
        <v>1.1000000000000001</v>
      </c>
      <c r="E63" s="276">
        <v>1.1000000000000001</v>
      </c>
      <c r="F63" s="270">
        <v>2340000</v>
      </c>
      <c r="G63" s="270"/>
      <c r="H63" s="270"/>
      <c r="I63" s="270"/>
      <c r="J63" s="270"/>
      <c r="K63" s="270"/>
      <c r="L63" s="270"/>
      <c r="M63" s="270"/>
      <c r="N63" s="270"/>
      <c r="O63" s="270"/>
      <c r="P63" s="270"/>
      <c r="Q63" s="270"/>
      <c r="R63" s="270"/>
      <c r="S63" s="270"/>
      <c r="T63" s="270"/>
      <c r="U63" s="270"/>
      <c r="V63" s="270"/>
      <c r="W63" s="270"/>
      <c r="X63" s="270"/>
      <c r="Y63" s="270"/>
      <c r="Z63" s="270"/>
      <c r="AA63" s="270"/>
      <c r="AB63" s="263">
        <v>18</v>
      </c>
      <c r="AC63" s="266">
        <f t="shared" si="6"/>
        <v>7876440.0000000019</v>
      </c>
    </row>
    <row r="64" spans="1:29" x14ac:dyDescent="0.25">
      <c r="A64" s="273">
        <v>23</v>
      </c>
      <c r="B64" s="278" t="s">
        <v>822</v>
      </c>
      <c r="C64" s="271" t="s">
        <v>795</v>
      </c>
      <c r="D64" s="276">
        <v>1.1000000000000001</v>
      </c>
      <c r="E64" s="276">
        <v>1.1000000000000001</v>
      </c>
      <c r="F64" s="270">
        <v>2340000</v>
      </c>
      <c r="G64" s="270"/>
      <c r="H64" s="270"/>
      <c r="I64" s="270"/>
      <c r="J64" s="270"/>
      <c r="K64" s="270"/>
      <c r="L64" s="270"/>
      <c r="M64" s="270"/>
      <c r="N64" s="270"/>
      <c r="O64" s="270"/>
      <c r="P64" s="270"/>
      <c r="Q64" s="270"/>
      <c r="R64" s="270"/>
      <c r="S64" s="270"/>
      <c r="T64" s="270"/>
      <c r="U64" s="270"/>
      <c r="V64" s="270"/>
      <c r="W64" s="270"/>
      <c r="X64" s="270"/>
      <c r="Y64" s="270"/>
      <c r="Z64" s="270"/>
      <c r="AA64" s="270"/>
      <c r="AB64" s="263">
        <v>18</v>
      </c>
      <c r="AC64" s="266">
        <f t="shared" si="6"/>
        <v>7876440.0000000019</v>
      </c>
    </row>
  </sheetData>
  <mergeCells count="18">
    <mergeCell ref="B8:C8"/>
    <mergeCell ref="K6:K7"/>
    <mergeCell ref="L6:L7"/>
    <mergeCell ref="M6:O6"/>
    <mergeCell ref="P6:P7"/>
    <mergeCell ref="C1:AC2"/>
    <mergeCell ref="A4:AC4"/>
    <mergeCell ref="A6:A7"/>
    <mergeCell ref="B6:B7"/>
    <mergeCell ref="C6:C7"/>
    <mergeCell ref="D6:D7"/>
    <mergeCell ref="E6:E7"/>
    <mergeCell ref="F6:F7"/>
    <mergeCell ref="G6:J6"/>
    <mergeCell ref="AC6:AC7"/>
    <mergeCell ref="Q6:Q7"/>
    <mergeCell ref="AB6:AB7"/>
    <mergeCell ref="A3:AC3"/>
  </mergeCells>
  <pageMargins left="0.7" right="0.7" top="0.75" bottom="0.75" header="0.3" footer="0.3"/>
  <pageSetup paperSize="9" scale="71" orientation="portrait" r:id="rId1"/>
  <colBreaks count="1" manualBreakCount="1">
    <brk id="29"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9</vt:i4>
      </vt:variant>
    </vt:vector>
  </HeadingPairs>
  <TitlesOfParts>
    <vt:vector size="19" baseType="lpstr">
      <vt:lpstr>Biểu Thu </vt:lpstr>
      <vt:lpstr>Biểu CĐ chi </vt:lpstr>
      <vt:lpstr>Biểu TH trình kỳ họp </vt:lpstr>
      <vt:lpstr>Dự phòng </vt:lpstr>
      <vt:lpstr>Biểu 04-NS</vt:lpstr>
      <vt:lpstr>Biêu 05-CN ĐT</vt:lpstr>
      <vt:lpstr>Biểu 06-ĐT TH</vt:lpstr>
      <vt:lpstr>Phụ lục 01</vt:lpstr>
      <vt:lpstr>PL02</vt:lpstr>
      <vt:lpstr>3. CN</vt:lpstr>
      <vt:lpstr>'Biểu 04-NS'!Print_Area</vt:lpstr>
      <vt:lpstr>'Biêu 05-CN ĐT'!Print_Area</vt:lpstr>
      <vt:lpstr>'Biểu 06-ĐT TH'!Print_Area</vt:lpstr>
      <vt:lpstr>'Biểu CĐ chi '!Print_Area</vt:lpstr>
      <vt:lpstr>'Biểu TH trình kỳ họp '!Print_Area</vt:lpstr>
      <vt:lpstr>'Biểu Thu '!Print_Area</vt:lpstr>
      <vt:lpstr>'Dự phòng '!Print_Area</vt:lpstr>
      <vt:lpstr>'Phụ lục 01'!Print_Area</vt:lpstr>
      <vt:lpstr>'PL02'!Print_Area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HUONG</cp:lastModifiedBy>
  <cp:lastPrinted>2026-07-10T01:23:38Z</cp:lastPrinted>
  <dcterms:created xsi:type="dcterms:W3CDTF">2025-10-27T03:03:17Z</dcterms:created>
  <dcterms:modified xsi:type="dcterms:W3CDTF">2026-07-10T07:19:23Z</dcterms:modified>
</cp:coreProperties>
</file>