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docs.live.net/b361c1885027bf73/Desktop/2. PHÒNG KINH TẾ/"/>
    </mc:Choice>
  </mc:AlternateContent>
  <xr:revisionPtr revIDLastSave="0" documentId="13_ncr:1_{4C93242E-E4D2-43D8-8A23-962DC61A369D}" xr6:coauthVersionLast="47" xr6:coauthVersionMax="47" xr10:uidLastSave="{00000000-0000-0000-0000-000000000000}"/>
  <bookViews>
    <workbookView xWindow="-28920" yWindow="-120" windowWidth="29040" windowHeight="15840" firstSheet="1" activeTab="5" xr2:uid="{00000000-000D-0000-FFFF-FFFF00000000}"/>
  </bookViews>
  <sheets>
    <sheet name="KH GIẢI NGÂN VỐN TH6,2026" sheetId="1" state="hidden" r:id="rId1"/>
    <sheet name="THEO DÕI GIẢI NGÂN TOÀN XÃ" sheetId="2" r:id="rId2"/>
    <sheet name="PKT + VH" sheetId="3" state="hidden" r:id="rId3"/>
    <sheet name="VP" sheetId="4" state="hidden" r:id="rId4"/>
    <sheet name="CK GIAI NGAN" sheetId="6" r:id="rId5"/>
    <sheet name="CK GIAI NGAN (2)" sheetId="7" r:id="rId6"/>
  </sheets>
  <externalReferences>
    <externalReference r:id="rId7"/>
  </externalReferences>
  <definedNames>
    <definedName name="_xlnm._FilterDatabase" localSheetId="2" hidden="1">'PKT + VH'!$N$1:$N$37</definedName>
    <definedName name="_xlnm._FilterDatabase" localSheetId="1" hidden="1">'THEO DÕI GIẢI NGÂN TOÀN XÃ'!$M$1:$M$53</definedName>
    <definedName name="_xlnm._FilterDatabase" localSheetId="3" hidden="1">VP!$M$1:$M$53</definedName>
    <definedName name="_xlnm.Print_Area" localSheetId="4">'CK GIAI NGAN'!$A$1:$H$65</definedName>
    <definedName name="_xlnm.Print_Area" localSheetId="5">'CK GIAI NGAN (2)'!$A$1:$H$66</definedName>
    <definedName name="_xlnm.Print_Area" localSheetId="0">'KH GIẢI NGÂN VỐN TH6,2026'!$A$1:$J$30</definedName>
    <definedName name="_xlnm.Print_Area" localSheetId="2">'PKT + VH'!$A$1:$Q$38</definedName>
    <definedName name="_xlnm.Print_Area" localSheetId="1">'THEO DÕI GIẢI NGÂN TOÀN XÃ'!$A$1:$P$54</definedName>
    <definedName name="_xlnm.Print_Area" localSheetId="3">VP!$A$1:$P$54</definedName>
    <definedName name="_xlnm.Print_Titles" localSheetId="4">'CK GIAI NGAN'!$4:$4</definedName>
    <definedName name="_xlnm.Print_Titles" localSheetId="5">'CK GIAI NGAN (2)'!$5:$5</definedName>
    <definedName name="_xlnm.Print_Titles" localSheetId="0">'KH GIẢI NGÂN VỐN TH6,2026'!$5:$6</definedName>
    <definedName name="_xlnm.Print_Titles" localSheetId="2">'PKT + VH'!$4:$5</definedName>
    <definedName name="_xlnm.Print_Titles" localSheetId="1">'THEO DÕI GIẢI NGÂN TOÀN XÃ'!$4:$5</definedName>
    <definedName name="_xlnm.Print_Titles" localSheetId="3">VP!$4:$5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7" l="1"/>
  <c r="G66" i="7"/>
  <c r="G65" i="7"/>
  <c r="F65" i="7"/>
  <c r="G64" i="7"/>
  <c r="G49" i="7" s="1"/>
  <c r="F64" i="7"/>
  <c r="E62" i="7"/>
  <c r="F62" i="7" s="1"/>
  <c r="F61" i="7"/>
  <c r="F60" i="7"/>
  <c r="A52" i="7"/>
  <c r="A53" i="7" s="1"/>
  <c r="A54" i="7" s="1"/>
  <c r="A55" i="7" s="1"/>
  <c r="A56" i="7" s="1"/>
  <c r="A57" i="7" s="1"/>
  <c r="A58" i="7" s="1"/>
  <c r="A59" i="7" s="1"/>
  <c r="A60" i="7" s="1"/>
  <c r="A61" i="7" s="1"/>
  <c r="A62" i="7" s="1"/>
  <c r="A64" i="7" s="1"/>
  <c r="A65" i="7" s="1"/>
  <c r="A66" i="7" s="1"/>
  <c r="F51" i="7"/>
  <c r="G50" i="7"/>
  <c r="C49" i="7"/>
  <c r="G48" i="7"/>
  <c r="F48" i="7"/>
  <c r="G47" i="7"/>
  <c r="F47" i="7"/>
  <c r="G46" i="7"/>
  <c r="F46" i="7"/>
  <c r="G45" i="7"/>
  <c r="F45" i="7"/>
  <c r="G44" i="7"/>
  <c r="F44" i="7"/>
  <c r="G43" i="7"/>
  <c r="F43" i="7"/>
  <c r="G42" i="7"/>
  <c r="F42" i="7"/>
  <c r="G41" i="7"/>
  <c r="F41" i="7"/>
  <c r="E40" i="7"/>
  <c r="F40" i="7" s="1"/>
  <c r="E39" i="7"/>
  <c r="F39" i="7" s="1"/>
  <c r="E38" i="7"/>
  <c r="F38" i="7" s="1"/>
  <c r="E36" i="7"/>
  <c r="F36" i="7" s="1"/>
  <c r="E35" i="7"/>
  <c r="F35" i="7" s="1"/>
  <c r="E34" i="7"/>
  <c r="F34" i="7" s="1"/>
  <c r="E33" i="7"/>
  <c r="F33" i="7" s="1"/>
  <c r="E32" i="7"/>
  <c r="F32" i="7" s="1"/>
  <c r="E31" i="7"/>
  <c r="F31" i="7" s="1"/>
  <c r="E30" i="7"/>
  <c r="F30" i="7" s="1"/>
  <c r="E29" i="7"/>
  <c r="F29" i="7" s="1"/>
  <c r="E28" i="7"/>
  <c r="F28" i="7" s="1"/>
  <c r="E27" i="7"/>
  <c r="F27" i="7" s="1"/>
  <c r="E26" i="7"/>
  <c r="F26" i="7" s="1"/>
  <c r="E25" i="7"/>
  <c r="F25" i="7" s="1"/>
  <c r="E24" i="7"/>
  <c r="G22" i="7"/>
  <c r="F22" i="7"/>
  <c r="F21" i="7"/>
  <c r="G20" i="7"/>
  <c r="F20" i="7"/>
  <c r="F19" i="7"/>
  <c r="F18" i="7"/>
  <c r="G17" i="7"/>
  <c r="G16" i="7"/>
  <c r="G15" i="7"/>
  <c r="G14" i="7"/>
  <c r="C13" i="7"/>
  <c r="C7" i="7" s="1"/>
  <c r="C6" i="7" s="1"/>
  <c r="G12" i="7"/>
  <c r="G11" i="7"/>
  <c r="G10" i="7"/>
  <c r="A10" i="7"/>
  <c r="A11" i="7" s="1"/>
  <c r="A12" i="7" s="1"/>
  <c r="A13" i="7" s="1"/>
  <c r="A14" i="7" s="1"/>
  <c r="A16" i="7" s="1"/>
  <c r="A17" i="7" s="1"/>
  <c r="A18" i="7" s="1"/>
  <c r="A19" i="7" s="1"/>
  <c r="A20" i="7" s="1"/>
  <c r="F9" i="7"/>
  <c r="G8" i="7"/>
  <c r="D7" i="7"/>
  <c r="I32" i="2"/>
  <c r="H44" i="2"/>
  <c r="G16" i="6"/>
  <c r="G19" i="6"/>
  <c r="G20" i="6"/>
  <c r="G21" i="6"/>
  <c r="G40" i="6"/>
  <c r="G41" i="6"/>
  <c r="G42" i="6"/>
  <c r="G43" i="6"/>
  <c r="G44" i="6"/>
  <c r="G45" i="6"/>
  <c r="G46" i="6"/>
  <c r="G47" i="6"/>
  <c r="G49" i="6"/>
  <c r="G50" i="6"/>
  <c r="G51" i="6"/>
  <c r="G52" i="6"/>
  <c r="G53" i="6"/>
  <c r="G54" i="6"/>
  <c r="G55" i="6"/>
  <c r="G56" i="6"/>
  <c r="G57" i="6"/>
  <c r="G58" i="6"/>
  <c r="G63" i="6"/>
  <c r="G64" i="6"/>
  <c r="G65" i="6"/>
  <c r="G9" i="6"/>
  <c r="G10" i="6"/>
  <c r="G11" i="6"/>
  <c r="G13" i="6"/>
  <c r="G14" i="6"/>
  <c r="G15" i="6"/>
  <c r="E33" i="6"/>
  <c r="F8" i="6"/>
  <c r="F17" i="6"/>
  <c r="F18" i="6"/>
  <c r="F19" i="6"/>
  <c r="F20" i="6"/>
  <c r="F21" i="6"/>
  <c r="F40" i="6"/>
  <c r="F41" i="6"/>
  <c r="F42" i="6"/>
  <c r="F43" i="6"/>
  <c r="F44" i="6"/>
  <c r="F45" i="6"/>
  <c r="F46" i="6"/>
  <c r="F47" i="6"/>
  <c r="F50" i="6"/>
  <c r="F59" i="6"/>
  <c r="F60" i="6"/>
  <c r="F63" i="6"/>
  <c r="F64" i="6"/>
  <c r="E61" i="6"/>
  <c r="A51" i="6"/>
  <c r="A52" i="6" s="1"/>
  <c r="A53" i="6" s="1"/>
  <c r="A54" i="6" s="1"/>
  <c r="A55" i="6" s="1"/>
  <c r="A56" i="6" s="1"/>
  <c r="A57" i="6" s="1"/>
  <c r="A58" i="6" s="1"/>
  <c r="A59" i="6" s="1"/>
  <c r="A60" i="6" s="1"/>
  <c r="A61" i="6" s="1"/>
  <c r="E48" i="6"/>
  <c r="D48" i="6"/>
  <c r="C48" i="6"/>
  <c r="E39" i="6"/>
  <c r="E38" i="6"/>
  <c r="E37" i="6"/>
  <c r="E35" i="6"/>
  <c r="E34" i="6"/>
  <c r="E32" i="6"/>
  <c r="E31" i="6"/>
  <c r="E30" i="6"/>
  <c r="E29" i="6"/>
  <c r="E28" i="6"/>
  <c r="E27" i="6"/>
  <c r="E26" i="6"/>
  <c r="E25" i="6"/>
  <c r="E24" i="6"/>
  <c r="F24" i="6" s="1"/>
  <c r="E23" i="6"/>
  <c r="C12" i="6"/>
  <c r="C6" i="6" s="1"/>
  <c r="A9" i="6"/>
  <c r="A10" i="6" s="1"/>
  <c r="A11" i="6" s="1"/>
  <c r="A12" i="6" s="1"/>
  <c r="A13" i="6" s="1"/>
  <c r="A15" i="6" s="1"/>
  <c r="A16" i="6" s="1"/>
  <c r="A17" i="6" s="1"/>
  <c r="A18" i="6" s="1"/>
  <c r="A19" i="6" s="1"/>
  <c r="G7" i="6"/>
  <c r="D6" i="6"/>
  <c r="G26" i="2"/>
  <c r="R45" i="2"/>
  <c r="I25" i="2"/>
  <c r="I23" i="2"/>
  <c r="I24" i="2"/>
  <c r="I8" i="2"/>
  <c r="I43" i="2"/>
  <c r="H45" i="2"/>
  <c r="H41" i="2"/>
  <c r="H40" i="2"/>
  <c r="H42" i="2"/>
  <c r="H25" i="2"/>
  <c r="E28" i="3"/>
  <c r="F28" i="3"/>
  <c r="J28" i="3"/>
  <c r="D28" i="3"/>
  <c r="E36" i="3"/>
  <c r="F36" i="3"/>
  <c r="J36" i="3"/>
  <c r="D36" i="3"/>
  <c r="F25" i="3"/>
  <c r="H25" i="3"/>
  <c r="E17" i="3"/>
  <c r="F17" i="3"/>
  <c r="G17" i="3"/>
  <c r="E8" i="3"/>
  <c r="F8" i="3"/>
  <c r="F7" i="3" s="1"/>
  <c r="J8" i="3"/>
  <c r="J43" i="2"/>
  <c r="E8" i="2"/>
  <c r="E7" i="4"/>
  <c r="I53" i="4"/>
  <c r="D52" i="4"/>
  <c r="I51" i="4"/>
  <c r="G51" i="4"/>
  <c r="I50" i="4"/>
  <c r="C50" i="4"/>
  <c r="I49" i="4"/>
  <c r="D48" i="4"/>
  <c r="I47" i="4"/>
  <c r="I46" i="4"/>
  <c r="G45" i="4"/>
  <c r="D44" i="4"/>
  <c r="G43" i="4"/>
  <c r="G42" i="4"/>
  <c r="I41" i="4"/>
  <c r="G41" i="4"/>
  <c r="I40" i="4"/>
  <c r="G40" i="4"/>
  <c r="O39" i="4"/>
  <c r="G39" i="4"/>
  <c r="C39" i="4"/>
  <c r="I38" i="4"/>
  <c r="I37" i="4"/>
  <c r="I36" i="4"/>
  <c r="O35" i="4"/>
  <c r="I35" i="4"/>
  <c r="I34" i="4"/>
  <c r="I33" i="4"/>
  <c r="G33" i="4"/>
  <c r="D32" i="4"/>
  <c r="I31" i="4"/>
  <c r="I30" i="4"/>
  <c r="I29" i="4"/>
  <c r="I28" i="4"/>
  <c r="I27" i="4"/>
  <c r="O26" i="4"/>
  <c r="I26" i="4"/>
  <c r="E26" i="4"/>
  <c r="D25" i="4"/>
  <c r="I24" i="4"/>
  <c r="L23" i="4"/>
  <c r="H23" i="4"/>
  <c r="L22" i="4"/>
  <c r="H22" i="4"/>
  <c r="H21" i="4"/>
  <c r="L20" i="4"/>
  <c r="H20" i="4"/>
  <c r="L19" i="4"/>
  <c r="H19" i="4"/>
  <c r="L18" i="4"/>
  <c r="H18" i="4"/>
  <c r="D17" i="4"/>
  <c r="L16" i="4"/>
  <c r="H16" i="4"/>
  <c r="H15" i="4"/>
  <c r="L14" i="4"/>
  <c r="H14" i="4"/>
  <c r="L13" i="4"/>
  <c r="H13" i="4"/>
  <c r="G12" i="4"/>
  <c r="L11" i="4"/>
  <c r="H11" i="4"/>
  <c r="L10" i="4"/>
  <c r="H10" i="4"/>
  <c r="A10" i="4"/>
  <c r="G9" i="4"/>
  <c r="I8" i="4"/>
  <c r="D8" i="4"/>
  <c r="D7" i="4" s="1"/>
  <c r="G7" i="4"/>
  <c r="F7" i="4"/>
  <c r="P35" i="3"/>
  <c r="G35" i="3"/>
  <c r="C35" i="3"/>
  <c r="I34" i="3"/>
  <c r="I33" i="3"/>
  <c r="I32" i="3"/>
  <c r="P31" i="3"/>
  <c r="I31" i="3"/>
  <c r="I30" i="3"/>
  <c r="I29" i="3"/>
  <c r="G29" i="3"/>
  <c r="G28" i="3" s="1"/>
  <c r="I27" i="3"/>
  <c r="I26" i="3"/>
  <c r="K26" i="3" s="1"/>
  <c r="E26" i="3"/>
  <c r="E25" i="3" s="1"/>
  <c r="D25" i="3"/>
  <c r="I24" i="3"/>
  <c r="M23" i="3"/>
  <c r="H23" i="3"/>
  <c r="M22" i="3"/>
  <c r="H22" i="3"/>
  <c r="H21" i="3"/>
  <c r="M20" i="3"/>
  <c r="H20" i="3"/>
  <c r="M19" i="3"/>
  <c r="H19" i="3"/>
  <c r="M18" i="3"/>
  <c r="H18" i="3"/>
  <c r="D17" i="3"/>
  <c r="M16" i="3"/>
  <c r="H16" i="3"/>
  <c r="H15" i="3"/>
  <c r="M14" i="3"/>
  <c r="H14" i="3"/>
  <c r="M13" i="3"/>
  <c r="H13" i="3"/>
  <c r="G12" i="3"/>
  <c r="M11" i="3"/>
  <c r="H11" i="3"/>
  <c r="M10" i="3"/>
  <c r="H10" i="3"/>
  <c r="A10" i="3"/>
  <c r="G9" i="3"/>
  <c r="D8" i="3"/>
  <c r="F25" i="2"/>
  <c r="H48" i="2"/>
  <c r="H21" i="2"/>
  <c r="I21" i="2" s="1"/>
  <c r="O26" i="2"/>
  <c r="O35" i="2"/>
  <c r="O34" i="2" s="1"/>
  <c r="O39" i="2"/>
  <c r="F32" i="2"/>
  <c r="D32" i="2"/>
  <c r="E32" i="2"/>
  <c r="E26" i="2"/>
  <c r="F52" i="2"/>
  <c r="E52" i="2"/>
  <c r="D52" i="2"/>
  <c r="F48" i="2"/>
  <c r="I48" i="2" s="1"/>
  <c r="F43" i="2"/>
  <c r="E43" i="2"/>
  <c r="E48" i="2"/>
  <c r="D25" i="2"/>
  <c r="D8" i="2"/>
  <c r="D17" i="2"/>
  <c r="D43" i="2"/>
  <c r="D48" i="2"/>
  <c r="C50" i="2"/>
  <c r="A10" i="2"/>
  <c r="C39" i="2"/>
  <c r="E25" i="2"/>
  <c r="L23" i="2"/>
  <c r="L22" i="2"/>
  <c r="L20" i="2"/>
  <c r="L19" i="2"/>
  <c r="L18" i="2"/>
  <c r="F17" i="2"/>
  <c r="E17" i="2"/>
  <c r="L16" i="2"/>
  <c r="L14" i="2"/>
  <c r="L13" i="2"/>
  <c r="L11" i="2"/>
  <c r="L10" i="2"/>
  <c r="F8" i="2"/>
  <c r="I12" i="1"/>
  <c r="I14" i="1"/>
  <c r="I15" i="1"/>
  <c r="I16" i="1"/>
  <c r="I17" i="1"/>
  <c r="I19" i="1"/>
  <c r="I20" i="1"/>
  <c r="I21" i="1"/>
  <c r="I23" i="1"/>
  <c r="I24" i="1"/>
  <c r="I11" i="1"/>
  <c r="F13" i="1"/>
  <c r="F10" i="1"/>
  <c r="F9" i="1" s="1"/>
  <c r="E26" i="1"/>
  <c r="F26" i="1"/>
  <c r="E18" i="1"/>
  <c r="E9" i="1"/>
  <c r="D26" i="1"/>
  <c r="D18" i="1"/>
  <c r="D9" i="1"/>
  <c r="G20" i="1"/>
  <c r="G17" i="1"/>
  <c r="G28" i="1"/>
  <c r="G25" i="1"/>
  <c r="G27" i="1"/>
  <c r="G29" i="1"/>
  <c r="H29" i="1" s="1"/>
  <c r="G30" i="1"/>
  <c r="H30" i="1" s="1"/>
  <c r="E7" i="7" l="1"/>
  <c r="F7" i="7" s="1"/>
  <c r="E49" i="7"/>
  <c r="J7" i="3"/>
  <c r="F49" i="7"/>
  <c r="D6" i="7"/>
  <c r="G24" i="7"/>
  <c r="F24" i="7"/>
  <c r="F13" i="7"/>
  <c r="G13" i="7"/>
  <c r="G7" i="7" s="1"/>
  <c r="G6" i="7" s="1"/>
  <c r="A21" i="7"/>
  <c r="A22" i="7" s="1"/>
  <c r="A24" i="7" s="1"/>
  <c r="A25" i="7" s="1"/>
  <c r="A26" i="7" s="1"/>
  <c r="A27" i="7"/>
  <c r="A28" i="7" s="1"/>
  <c r="A29" i="7" s="1"/>
  <c r="A30" i="7" s="1"/>
  <c r="A31" i="7" s="1"/>
  <c r="A32" i="7" s="1"/>
  <c r="A33" i="7" s="1"/>
  <c r="A34" i="7" s="1"/>
  <c r="A35" i="7" s="1"/>
  <c r="A36" i="7" s="1"/>
  <c r="A37" i="7" s="1"/>
  <c r="A38" i="7" s="1"/>
  <c r="A39" i="7" s="1"/>
  <c r="A40" i="7" s="1"/>
  <c r="A41" i="7" s="1"/>
  <c r="A42" i="7" s="1"/>
  <c r="A43" i="7" s="1"/>
  <c r="A44" i="7" s="1"/>
  <c r="A45" i="7" s="1"/>
  <c r="A46" i="7" s="1"/>
  <c r="A47" i="7" s="1"/>
  <c r="A48" i="7" s="1"/>
  <c r="D5" i="6"/>
  <c r="D7" i="3"/>
  <c r="C5" i="6"/>
  <c r="G48" i="6"/>
  <c r="E6" i="6"/>
  <c r="A63" i="6"/>
  <c r="F48" i="6"/>
  <c r="F23" i="6"/>
  <c r="G23" i="6"/>
  <c r="F12" i="6"/>
  <c r="G12" i="6"/>
  <c r="G6" i="6" s="1"/>
  <c r="F61" i="6"/>
  <c r="F39" i="6"/>
  <c r="F38" i="6"/>
  <c r="F37" i="6"/>
  <c r="F35" i="6"/>
  <c r="F34" i="6"/>
  <c r="F33" i="6"/>
  <c r="F32" i="6"/>
  <c r="F31" i="6"/>
  <c r="F30" i="6"/>
  <c r="F29" i="6"/>
  <c r="F28" i="6"/>
  <c r="F27" i="6"/>
  <c r="F26" i="6"/>
  <c r="F25" i="6"/>
  <c r="A20" i="6"/>
  <c r="A26" i="6"/>
  <c r="Q32" i="2"/>
  <c r="G8" i="3"/>
  <c r="P30" i="3"/>
  <c r="G36" i="3"/>
  <c r="H17" i="3"/>
  <c r="I25" i="3"/>
  <c r="E7" i="3"/>
  <c r="E7" i="2"/>
  <c r="H43" i="4"/>
  <c r="I43" i="4" s="1"/>
  <c r="H39" i="4"/>
  <c r="I39" i="4" s="1"/>
  <c r="K27" i="4"/>
  <c r="I23" i="4"/>
  <c r="K23" i="4" s="1"/>
  <c r="I22" i="4"/>
  <c r="K22" i="4" s="1"/>
  <c r="I21" i="4"/>
  <c r="I20" i="4"/>
  <c r="K20" i="4" s="1"/>
  <c r="I19" i="4"/>
  <c r="K19" i="4" s="1"/>
  <c r="I18" i="4"/>
  <c r="K18" i="4" s="1"/>
  <c r="I16" i="4"/>
  <c r="K16" i="4" s="1"/>
  <c r="I15" i="4"/>
  <c r="K15" i="4" s="1"/>
  <c r="I14" i="4"/>
  <c r="K14" i="4" s="1"/>
  <c r="I13" i="4"/>
  <c r="K13" i="4" s="1"/>
  <c r="H12" i="4"/>
  <c r="I12" i="4" s="1"/>
  <c r="K12" i="4" s="1"/>
  <c r="I11" i="4"/>
  <c r="K11" i="4" s="1"/>
  <c r="A11" i="4"/>
  <c r="A12" i="4" s="1"/>
  <c r="A13" i="4" s="1"/>
  <c r="A14" i="4" s="1"/>
  <c r="A15" i="4" s="1"/>
  <c r="A16" i="4" s="1"/>
  <c r="A18" i="4" s="1"/>
  <c r="A19" i="4" s="1"/>
  <c r="A20" i="4" s="1"/>
  <c r="A22" i="4" s="1"/>
  <c r="A23" i="4" s="1"/>
  <c r="I10" i="4"/>
  <c r="K10" i="4" s="1"/>
  <c r="H9" i="4"/>
  <c r="J7" i="4"/>
  <c r="H45" i="4"/>
  <c r="I45" i="4" s="1"/>
  <c r="H42" i="4"/>
  <c r="I42" i="4" s="1"/>
  <c r="O34" i="4"/>
  <c r="K31" i="4"/>
  <c r="K30" i="4"/>
  <c r="K29" i="4"/>
  <c r="K28" i="4"/>
  <c r="G26" i="4"/>
  <c r="A26" i="4"/>
  <c r="A27" i="4" s="1"/>
  <c r="A28" i="4" s="1"/>
  <c r="A29" i="4" s="1"/>
  <c r="A30" i="4" s="1"/>
  <c r="A31" i="4" s="1"/>
  <c r="A33" i="4" s="1"/>
  <c r="A34" i="4" s="1"/>
  <c r="A35" i="4" s="1"/>
  <c r="A36" i="4" s="1"/>
  <c r="A37" i="4" s="1"/>
  <c r="A38" i="4" s="1"/>
  <c r="A39" i="4" s="1"/>
  <c r="A40" i="4" s="1"/>
  <c r="A41" i="4" s="1"/>
  <c r="A42" i="4" s="1"/>
  <c r="A43" i="4" s="1"/>
  <c r="A45" i="4" s="1"/>
  <c r="A46" i="4" s="1"/>
  <c r="A47" i="4" s="1"/>
  <c r="A49" i="4" s="1"/>
  <c r="A50" i="4" s="1"/>
  <c r="A51" i="4" s="1"/>
  <c r="K24" i="4"/>
  <c r="L27" i="3"/>
  <c r="H36" i="3"/>
  <c r="H35" i="3"/>
  <c r="H28" i="3" s="1"/>
  <c r="I15" i="3"/>
  <c r="L15" i="3" s="1"/>
  <c r="G26" i="3"/>
  <c r="G25" i="3" s="1"/>
  <c r="L24" i="3"/>
  <c r="L23" i="3"/>
  <c r="L22" i="3"/>
  <c r="I21" i="3"/>
  <c r="I20" i="3"/>
  <c r="L20" i="3" s="1"/>
  <c r="I19" i="3"/>
  <c r="L19" i="3" s="1"/>
  <c r="I18" i="3"/>
  <c r="I13" i="3"/>
  <c r="L13" i="3" s="1"/>
  <c r="H12" i="3"/>
  <c r="L12" i="3" s="1"/>
  <c r="I11" i="3"/>
  <c r="L11" i="3" s="1"/>
  <c r="A11" i="3"/>
  <c r="A12" i="3" s="1"/>
  <c r="A13" i="3" s="1"/>
  <c r="A14" i="3" s="1"/>
  <c r="A15" i="3" s="1"/>
  <c r="A16" i="3" s="1"/>
  <c r="A18" i="3" s="1"/>
  <c r="A19" i="3" s="1"/>
  <c r="A20" i="3" s="1"/>
  <c r="A22" i="3" s="1"/>
  <c r="A23" i="3" s="1"/>
  <c r="A26" i="3" s="1"/>
  <c r="I10" i="3"/>
  <c r="H9" i="3"/>
  <c r="H8" i="3" s="1"/>
  <c r="I16" i="3"/>
  <c r="L16" i="3" s="1"/>
  <c r="I14" i="3"/>
  <c r="L14" i="3" s="1"/>
  <c r="H17" i="2"/>
  <c r="I17" i="2" s="1"/>
  <c r="H39" i="2"/>
  <c r="H8" i="2"/>
  <c r="K31" i="2"/>
  <c r="D7" i="2"/>
  <c r="F7" i="2"/>
  <c r="A11" i="2"/>
  <c r="A12" i="2" s="1"/>
  <c r="A13" i="2" s="1"/>
  <c r="A14" i="2" s="1"/>
  <c r="A15" i="2" s="1"/>
  <c r="A16" i="2" s="1"/>
  <c r="A18" i="2" s="1"/>
  <c r="A19" i="2" s="1"/>
  <c r="A20" i="2" s="1"/>
  <c r="A22" i="2" s="1"/>
  <c r="K30" i="2"/>
  <c r="K29" i="2"/>
  <c r="K28" i="2"/>
  <c r="K24" i="2"/>
  <c r="K27" i="2"/>
  <c r="I13" i="1"/>
  <c r="H27" i="1"/>
  <c r="H20" i="1"/>
  <c r="E8" i="1"/>
  <c r="D8" i="1"/>
  <c r="G26" i="1"/>
  <c r="F18" i="1"/>
  <c r="H17" i="1"/>
  <c r="H28" i="1"/>
  <c r="H25" i="1"/>
  <c r="G23" i="1"/>
  <c r="H23" i="1" s="1"/>
  <c r="G21" i="1"/>
  <c r="G11" i="1"/>
  <c r="H11" i="1" s="1"/>
  <c r="G12" i="1"/>
  <c r="H12" i="1" s="1"/>
  <c r="G14" i="1"/>
  <c r="H14" i="1" s="1"/>
  <c r="G16" i="1"/>
  <c r="H16" i="1" s="1"/>
  <c r="G19" i="1"/>
  <c r="G24" i="1"/>
  <c r="H24" i="1" s="1"/>
  <c r="G10" i="1"/>
  <c r="G13" i="1"/>
  <c r="H13" i="1" s="1"/>
  <c r="G15" i="1"/>
  <c r="H15" i="1" s="1"/>
  <c r="E6" i="7" l="1"/>
  <c r="H6" i="7" s="1"/>
  <c r="I17" i="3"/>
  <c r="G7" i="3"/>
  <c r="H7" i="3"/>
  <c r="F6" i="6"/>
  <c r="E5" i="6"/>
  <c r="A64" i="6"/>
  <c r="A21" i="6"/>
  <c r="A27" i="6"/>
  <c r="F5" i="6"/>
  <c r="G5" i="6"/>
  <c r="L10" i="3"/>
  <c r="I8" i="3"/>
  <c r="H32" i="2"/>
  <c r="I7" i="2"/>
  <c r="L18" i="3"/>
  <c r="J7" i="2"/>
  <c r="I9" i="4"/>
  <c r="H7" i="4"/>
  <c r="Q7" i="4" s="1"/>
  <c r="R7" i="4" s="1"/>
  <c r="I36" i="3"/>
  <c r="I35" i="3"/>
  <c r="I28" i="3" s="1"/>
  <c r="K23" i="2"/>
  <c r="K20" i="2"/>
  <c r="K18" i="2"/>
  <c r="K12" i="2"/>
  <c r="K11" i="2"/>
  <c r="K10" i="2"/>
  <c r="K22" i="2"/>
  <c r="K19" i="2"/>
  <c r="K16" i="2"/>
  <c r="K15" i="2"/>
  <c r="K14" i="2"/>
  <c r="K13" i="2"/>
  <c r="K25" i="2"/>
  <c r="A23" i="2"/>
  <c r="A26" i="2" s="1"/>
  <c r="A27" i="2" s="1"/>
  <c r="A28" i="2" s="1"/>
  <c r="A29" i="2" s="1"/>
  <c r="A30" i="2" s="1"/>
  <c r="A31" i="2" s="1"/>
  <c r="A33" i="2" s="1"/>
  <c r="A34" i="2" s="1"/>
  <c r="A35" i="2" s="1"/>
  <c r="A36" i="2" s="1"/>
  <c r="A37" i="2" s="1"/>
  <c r="A38" i="2" s="1"/>
  <c r="A39" i="2" s="1"/>
  <c r="A40" i="2" s="1"/>
  <c r="K9" i="2"/>
  <c r="J8" i="1"/>
  <c r="F8" i="1"/>
  <c r="H26" i="1"/>
  <c r="H19" i="1"/>
  <c r="G18" i="1"/>
  <c r="H18" i="1" s="1"/>
  <c r="G9" i="1"/>
  <c r="H21" i="1"/>
  <c r="F6" i="7" l="1"/>
  <c r="A46" i="2"/>
  <c r="A47" i="2" s="1"/>
  <c r="A49" i="2" s="1"/>
  <c r="A50" i="2" s="1"/>
  <c r="A51" i="2" s="1"/>
  <c r="A41" i="2"/>
  <c r="A42" i="2" s="1"/>
  <c r="I7" i="3"/>
  <c r="R8" i="3" s="1"/>
  <c r="A65" i="6"/>
  <c r="A23" i="6"/>
  <c r="A28" i="6"/>
  <c r="K32" i="2"/>
  <c r="L9" i="3"/>
  <c r="K17" i="2"/>
  <c r="K9" i="4"/>
  <c r="I7" i="4"/>
  <c r="K7" i="4" s="1"/>
  <c r="K8" i="2"/>
  <c r="H9" i="1"/>
  <c r="G8" i="1"/>
  <c r="H10" i="1"/>
  <c r="A24" i="6" l="1"/>
  <c r="A29" i="6"/>
  <c r="R7" i="3"/>
  <c r="S7" i="3" s="1"/>
  <c r="L7" i="3"/>
  <c r="H8" i="1"/>
  <c r="H47" i="2"/>
  <c r="H43" i="2" s="1"/>
  <c r="H7" i="2" s="1"/>
  <c r="A25" i="6" l="1"/>
  <c r="A30" i="6"/>
  <c r="K7" i="2"/>
  <c r="A31" i="6" l="1"/>
  <c r="A32" i="6" l="1"/>
  <c r="A33" i="6" l="1"/>
  <c r="A34" i="6" l="1"/>
  <c r="A35" i="6" l="1"/>
  <c r="A36" i="6" l="1"/>
  <c r="A37" i="6" s="1"/>
  <c r="A38" i="6" l="1"/>
  <c r="A39" i="6" l="1"/>
  <c r="A40" i="6" l="1"/>
  <c r="A41" i="6" l="1"/>
  <c r="A42" i="6" l="1"/>
  <c r="A43" i="6" l="1"/>
  <c r="A44" i="6" l="1"/>
  <c r="A45" i="6" l="1"/>
  <c r="A46" i="6" l="1"/>
  <c r="A47" i="6" l="1"/>
</calcChain>
</file>

<file path=xl/sharedStrings.xml><?xml version="1.0" encoding="utf-8"?>
<sst xmlns="http://schemas.openxmlformats.org/spreadsheetml/2006/main" count="674" uniqueCount="178">
  <si>
    <t>Chủ đầu tư/Danh mục dự án</t>
  </si>
  <si>
    <t>Kế hoạch vốn năm 2026</t>
  </si>
  <si>
    <t>I</t>
  </si>
  <si>
    <t>Stt</t>
  </si>
  <si>
    <t>Tháng 6</t>
  </si>
  <si>
    <t>Ghi chú</t>
  </si>
  <si>
    <t>Vốn đã giải 
ngân đến 
31/5/2026</t>
  </si>
  <si>
    <t>7=6/3</t>
  </si>
  <si>
    <t>PHỤ LỤC</t>
  </si>
  <si>
    <t>CAM KẾT GIẢI NGÂN KẾ HOẠCH VỐN THÁNG 6 VÀ 6 THÁNG ĐẦU NĂM 2026</t>
  </si>
  <si>
    <t>Cam kết giải ngân</t>
  </si>
  <si>
    <t>(Triệu đồng)</t>
  </si>
  <si>
    <t>(Kèm theo Báo cáo số      /UBND-KT ngày 10 tháng 6 năm 2026 của UBND xã Liên Sơn )</t>
  </si>
  <si>
    <t>Sửa chữa tuyến đường QL4E - Ông Ly Seo Tà, thôn Dì Thào Ván</t>
  </si>
  <si>
    <t>Sửa chữa Trạm y tế Lầu Thí Ngài (cũ) thành nhà bán trú Trường PTDTBT Tiểu học Lùng Phình</t>
  </si>
  <si>
    <t>Quy hoạch chi tiết xây dựng khu vực Trường trung học cơ sở và trung học phổ thông Bắc Hà</t>
  </si>
  <si>
    <t>Sửa chữa xưởng dược liệu tại thôn Tả Chải bố trí nhà làm việ cho Trung tâm dịch vụ tổng hợp</t>
  </si>
  <si>
    <t>Công trình khắc phục thiên tai năm 2026</t>
  </si>
  <si>
    <t>Lũy kế 6 tháng (tối 
thiểu 45% kế hoạch 
vốn)</t>
  </si>
  <si>
    <t xml:space="preserve">Đường Dì Thào Ván đi nhóm hộ dân, xã Lùng Phình </t>
  </si>
  <si>
    <t>Đường từ thôn Nàng Cảng 2 đi thôn Lử Thẩn, xã Lùng Phình</t>
  </si>
  <si>
    <t>Đường từ thôn Dì Thào Ván đi thôn Tả Chải, xã Lùng Phình</t>
  </si>
  <si>
    <t>Đường QL4 đi Seng Sui, xã Lùng Phình</t>
  </si>
  <si>
    <t>Đường từ thôn Pù Chù Ván đi khu sản xuất, xã Lùng Phình, xã Lùng Phình</t>
  </si>
  <si>
    <t>Đường từ hộ ông Ly Seo Tà đi trạm nước thôn Dì Thào Ván, xã Lùng Phình</t>
  </si>
  <si>
    <t xml:space="preserve">Đường vào nhà văn hóa thôn Lao Chải Phà Hai Tủng, xã Lùng Phình </t>
  </si>
  <si>
    <t xml:space="preserve">Đường từ thôn Chính Chư Phìn đi thôn Lử Thẩn, xã Lùng Phình </t>
  </si>
  <si>
    <t xml:space="preserve">Sửa chữa, cải tạo trụ sở UBND xã Lầu Thí Ngài(cũ) thành điểm trường chính Mầm Non Lùng Phình </t>
  </si>
  <si>
    <t xml:space="preserve">Cải tạo khuôn viên Đảng ủy, UBND xã Lùng Phình </t>
  </si>
  <si>
    <t>Nhà bán trú, nhà ăn Trường THCS&amp;THPT Bắc Hà, xã Lùng Phình, tỉnh Lào Cai</t>
  </si>
  <si>
    <t>Đường từ thôn Nhiều Cù Ván A đến thôn Tẩn Chư Tả Van Chư, xã Lùng Phình, tỉnh Lào Cai</t>
  </si>
  <si>
    <t>Sửa chữa thủy lợi Pờ Chồ và thủy lợi Pả Chư Tỷ (Quán Hóa), xã Lùng Phình, Tỉnh Lào Cai.</t>
  </si>
  <si>
    <t>II</t>
  </si>
  <si>
    <t>NGUỒN VỐN NGÂN SÁCH TỈNH BỔ SUNG CÓ MỤC TIÊU CHO NGÂN SÁCH CẤP XÃ</t>
  </si>
  <si>
    <t>III</t>
  </si>
  <si>
    <t>NGÂN SÁCH TỈNH BỔ SUNG CHO NGÂN  CÓ MỤC TIÊU CHO NGÂN SÁCH XÃ THỰC HIỆN CÁC DỰ ÁN GTNT</t>
  </si>
  <si>
    <t>TỔNG CỘNG</t>
  </si>
  <si>
    <t>NGÂN SÁCH TỈNH BỔ SUNG CHO NGÂN SÁCH XÃ (NGUỒN VỐN XDCB TẬP TRUNG)</t>
  </si>
  <si>
    <t>Dự toán duyệt phần NS</t>
  </si>
  <si>
    <t>Chưa có KL NT</t>
  </si>
  <si>
    <t>Đã cấp đủ vốn</t>
  </si>
  <si>
    <t xml:space="preserve">Tỷ lệ/Vốn giao </t>
  </si>
  <si>
    <t>NGUỒN CT MTQG 1719</t>
  </si>
  <si>
    <t>Đường Pù Chù Ván khu sản xuất, xã Tả Van Chư</t>
  </si>
  <si>
    <t>Đường liên xã từ thôn Sín Chải xã Tả Van Chư huyện Bắc Hà đến thôn Cán Cấu xã Cán Cấu huyện Si Ma Cai</t>
  </si>
  <si>
    <t>Đường Tả Văn Chư Thượng, xã Tả Van Chư</t>
  </si>
  <si>
    <t>Đường Cầu treo - Pờ Chồ 3, xã Lùng Phình, huyện Bắc Hà</t>
  </si>
  <si>
    <t>Đường Pả Chư Tỷ - Quán Hóa, xã Lùng Phình</t>
  </si>
  <si>
    <t>Đường Pả Chư Tỷ 2 - Quán Hóa, xã Lùng Phình, huyện Bắc Hà</t>
  </si>
  <si>
    <t>Đường Dì Thào Ván - Túng Súng, xã Lùng Phình</t>
  </si>
  <si>
    <t>Đường trục thôn vào các hộ phía sau UBND xã Lùng Phình</t>
  </si>
  <si>
    <t xml:space="preserve">Sửa chữa trụ sở UBND xã Tả Va Chư (cũ) bố trí nơi làm việc của Trạm y tế xã </t>
  </si>
  <si>
    <t>KCM</t>
  </si>
  <si>
    <t>Chuyển tiếp</t>
  </si>
  <si>
    <t>QT</t>
  </si>
  <si>
    <t>HT</t>
  </si>
  <si>
    <t>V</t>
  </si>
  <si>
    <t>Vốn đã giải 
ngân đến 
15/6/2026</t>
  </si>
  <si>
    <t>San tạo mặt bằng Thôn Lử Thẩn, xã Lùng Phình, tỉnh Lào Cai (Dọc QL4, từ khu nhà ông Ly Seo Xóa đến nhà Ông Sùng Seo Phổng)</t>
  </si>
  <si>
    <t>Năm KC-HT</t>
  </si>
  <si>
    <t>2026-2027</t>
  </si>
  <si>
    <t>2024-2025</t>
  </si>
  <si>
    <t>2025-2026</t>
  </si>
  <si>
    <t>2024-2026</t>
  </si>
  <si>
    <t>2023-2025</t>
  </si>
  <si>
    <t>VI</t>
  </si>
  <si>
    <t>NGUỒN DỰ PHÒNG NS TW</t>
  </si>
  <si>
    <t>Công trình thủy lợi thôn Lử Chồ, thủy lợi Quán Hóa, thủy lợi Pả Chư Tỷ 2, thủy lợi Túng Súng, xã Lùng Phình, tỉnh Lào Cai</t>
  </si>
  <si>
    <t>Công trình Thủy lợi thôn Pờ Chồ, xã Lùng Phình, tỉnh Lào Cai</t>
  </si>
  <si>
    <t>Trường PTDTBT TH số 1 Lùng Thẩn, xã Lùng Phình, tỉnh Lào Cai</t>
  </si>
  <si>
    <t>THU TIỀN SỬ DỤNG ĐẤT CẤP XÃ</t>
  </si>
  <si>
    <t>Sửa chữa trường PTDTBT TH số 1 Lùng Thẩn, xã Lùng Phình (Điểm trường chính + PH Nà Chí Phàng 2 + Điểm Seng Sui)</t>
  </si>
  <si>
    <t>Trạm y tế xã Lùng Phình, tỉnh Lào Cai</t>
  </si>
  <si>
    <t>Nâng cấp sửa chữa chợ Lùng Phình, tỉnh Lào Cai</t>
  </si>
  <si>
    <t>Trường PTDTBT TH số 1 xã Lùng Thẩn Lùng Phình (PH Nà Trí Phàng 1)</t>
  </si>
  <si>
    <t>Trường mầm non Lùng Phình, điểm trường Lử Chồ, xã Lùng Phình, tỉnh Lào Cai</t>
  </si>
  <si>
    <t>2022-2025</t>
  </si>
  <si>
    <t>CĐT</t>
  </si>
  <si>
    <t>PKT</t>
  </si>
  <si>
    <t>PVH</t>
  </si>
  <si>
    <t>VP</t>
  </si>
  <si>
    <t>Đường khu sản xuất thôn Sín Chải, xã Tả Văn Chư</t>
  </si>
  <si>
    <t>VII</t>
  </si>
  <si>
    <t>NGUỒN TÀI TRỢ</t>
  </si>
  <si>
    <t>Nhà văn hóa thông Seng Sui, xã Lùng Phình</t>
  </si>
  <si>
    <t>Đã trình QT</t>
  </si>
  <si>
    <t>Bs HM PCCC</t>
  </si>
  <si>
    <t>Quy hoạch chung xã Lùng Phình</t>
  </si>
  <si>
    <t>Hiện trạng DA</t>
  </si>
  <si>
    <t>Đã QT</t>
  </si>
  <si>
    <t>CT</t>
  </si>
  <si>
    <t>Lũy kế 6 tháng (tối thiểu 45% kế hoạch 
vốn)</t>
  </si>
  <si>
    <t xml:space="preserve">Tỷ lệ/Vốn giao thời điểm báo cáo </t>
  </si>
  <si>
    <t>Tỷ lệ vốn cấp cho dự án</t>
  </si>
  <si>
    <t>Đã ký HĐXL đang thực hiện giải ngân</t>
  </si>
  <si>
    <t>Đã thẩm tra xong, PKT thẩm định, trình UBND phê đuyệt DA</t>
  </si>
  <si>
    <t>Tư vấn đang thực hiện thẩm tra</t>
  </si>
  <si>
    <t>Không thực hiện</t>
  </si>
  <si>
    <t>Không có KL nghiệm thu</t>
  </si>
  <si>
    <t>Đang thực hiện thanh toán</t>
  </si>
  <si>
    <t>Chuyển nguồn</t>
  </si>
  <si>
    <t>Phải thu hồi vốn + chuyển nguồn</t>
  </si>
  <si>
    <t>Thừa vốn</t>
  </si>
  <si>
    <t>BS nguồn</t>
  </si>
  <si>
    <t>Giá trị giải ngân thức tế tháng 6</t>
  </si>
  <si>
    <t>THEO DÕI GIẢI NGÂN KẾ HOẠCH VỐN ĐẦU TƯ CÔNG NĂM 2026 XÃ LÙNG PHÌNH</t>
  </si>
  <si>
    <t xml:space="preserve"> </t>
  </si>
  <si>
    <t>STT</t>
  </si>
  <si>
    <t xml:space="preserve">Nguồn vốn </t>
  </si>
  <si>
    <t>Lũy kế giải ngân vốn ĐTC đến 30/6/2026</t>
  </si>
  <si>
    <t>Đăng ký cam kết giải ngân hết quý III/2026 (tối thiểu 75%) kế hoạch</t>
  </si>
  <si>
    <t>Ghi chú (khó khăn, vướng mắc trong công tác giải ngân)</t>
  </si>
  <si>
    <t xml:space="preserve">NGÂN SÁCH CẤP XÃ, PHƯỜNG </t>
  </si>
  <si>
    <t>Công trình đã quyết toán</t>
  </si>
  <si>
    <t>8128795 - Nhà bán trú, nhà ăn Trường THCS&amp;THPT Bắc Hà, huyện Bắc Hà, tỉnh Lào Cai</t>
  </si>
  <si>
    <t>7980334 - Đường Ngã 3 nhà văn hóa thôn Dì Thào Ván – khu nhà ông Ly Seo Tà, xã Lùng Phình huyện Bắc Hà tỉnh Lào Cai.</t>
  </si>
  <si>
    <t>7980335 - Đường Tiểu học – Nhà ông Hàm, xã Lùng Phình huyện Bắc Hà  tỉnh Lào Cai</t>
  </si>
  <si>
    <t>7981264 - Đường Xà Ván, xã Tả Van Chư, huyện Bắc Hà, tỉnh Lào Cai</t>
  </si>
  <si>
    <t>8024807 - Đường Pả Chư Tỷ 2 - Quán Hóa, xã Lùng Phình, huyện Bắc Hà</t>
  </si>
  <si>
    <t>8025598 - Đường Dì Thào Ván - Dín Tủng 1, xã Lùng Phình</t>
  </si>
  <si>
    <t>Công trình chuyển tiếp</t>
  </si>
  <si>
    <t>8096462 - Đường liên xã từ thôn Sín Chải xã Tả Van Chư huyện Bắc Hà đến thôn Cán Cấu xã Cán Cấu huyện Si Ma Cai, xã Tả Van Chư, huyện Bắc Hà, tỉnh Lào Cai</t>
  </si>
  <si>
    <t>8096605 - Đường Pù Chù Ván khu sản xuất, xã Tả Van Chư, huyện Bắc Hà, tỉnh Lào Cai</t>
  </si>
  <si>
    <t>8102900 - Nâng cấp sửa chữa chợ Lùng Phình, huyện Bắc Hà</t>
  </si>
  <si>
    <t>8114821 - Đường Dì Thào Ván - Túng Súng, xã Lùng Phình, huyện Bắc Hà</t>
  </si>
  <si>
    <t>8149397 - Sửa chữa thủy lợi Pờ Chồ và thủy lợi Pả Chư Tỷ (Quán Hóa), xã Lùng Phình, huyện Bắc Hà. Tỉnh Lào Cai.</t>
  </si>
  <si>
    <t>8159849 - Đường từ thôn Nhiều Cồ Ván A đến thôn Tẩn Chư, xã Tẩn Chư, huyện Bắc Hà, tỉnh Lào Cai.</t>
  </si>
  <si>
    <t>Công trình KCM</t>
  </si>
  <si>
    <t>8202908 - San tạo mặt bằng thôn Lử Thẩn, xã Lùng Phình, tỉnh Lào Cai ( Dọc QL4, từ khu nhà ông Ly Seo Xóa đến nhà Ông Sùng Seo Phổng)</t>
  </si>
  <si>
    <t>8199327 - Sửa chữa tuyến đường QL4E- Ông Ly Seo Tà, thôn Dì Thào Ván</t>
  </si>
  <si>
    <t>8203098 - Sửa chữa Trạm y tế Lầu Thí Ngài (cũ) thành nhà bán trú trường PTDTBT Tiểu học Lùng Phình.</t>
  </si>
  <si>
    <t>8190662 - Đường từ thôn Nàng Cảng 2 đi thôn Lử Thẩn, xã Lùng Phình</t>
  </si>
  <si>
    <t>8190663 - Đường từ thôn Chính Chư Phìn đi thôn Lử Thẩn, xã Lùng Phình</t>
  </si>
  <si>
    <t>8190664 - Đường QL4 đi Seng Sui, xã Lùng Phình</t>
  </si>
  <si>
    <t>8190665 - Đường từ thôn Dì Thào Ván đi thôn Tà Chải, xã Lùng Phình</t>
  </si>
  <si>
    <t>8190958 - Đường từ thôn Pù Chù Ván đi khu sản xuất, xã Lùng Phình</t>
  </si>
  <si>
    <t>8190959 - Đường từ hộ ông Ly Seo Tà đi trạm nước thôn Dì Thào Ván, xã Lùng Phình</t>
  </si>
  <si>
    <t>8190960 - Đường Dì Thào Ván đi nhóm hộ dân, xã Lùng Phình</t>
  </si>
  <si>
    <t>8190961 - Đường vào nhà văn hóa thôn Lao Chải Phà Hai Tủng, xã Lùng Phình</t>
  </si>
  <si>
    <t>8142479 - Trường PTDTBT TH số 1 xã Lùng Thẩn huyện Si Ma Cai, tỉnh Lào Cai</t>
  </si>
  <si>
    <t>8150529 - Sửa chữa trường PTDTBT TH số 1 xã Lùng Thẩn, huyện Si Ma Cai (Điểm trường chính + PH Nà Chí Phàng 2 + Điểm Seng Sui)</t>
  </si>
  <si>
    <t>8186779 - Quy hoạch chung xã Lùng Phình</t>
  </si>
  <si>
    <t>8189622 - Sửa chữa trụ sở UBND xã Tả Van Chư (cũ) bố trí nơi làm việc của Trạm y tế xã</t>
  </si>
  <si>
    <t>8189623 - Sửa chữa, cải tạo trụ sở UBND xã Lầu Thí Ngài (cũ) thành điểm Trường chính Mầm non Lùng Phình</t>
  </si>
  <si>
    <t>8189621 - Cải tạo khuôn viên Đảng ủy, UBND xã Lùng Phình</t>
  </si>
  <si>
    <t xml:space="preserve">
 Đường Seng Sui -Nàng Cảng, xã Lùng Phình</t>
  </si>
  <si>
    <t>Đường Lênh Sui Thàng - Nà Trí Chủ, xã Lùng Phình</t>
  </si>
  <si>
    <t>Đường TL159 - Trường TH Pả Chư Tỷ, xã Lùng Phình</t>
  </si>
  <si>
    <t>Đường Tẩn Chư Thượng, xã Lùng Phình.</t>
  </si>
  <si>
    <t>Đường giao thông khu vực chợ Văn hóa, xã Lùng Phình.</t>
  </si>
  <si>
    <t>Đường Lả Dì Thàng đi khu sản sản xuất thôn Sín Chải, xã Lùng Phình</t>
  </si>
  <si>
    <t>Đường trường Mầm Non đi hộ ông Ma Xín Dùng, xã Lùng Phình</t>
  </si>
  <si>
    <t>Đường Seng Sui, Nà Mổ, xã Lùng Phình</t>
  </si>
  <si>
    <t>CHƯƠNG TRÌNH MTQG</t>
  </si>
  <si>
    <t>Công trình quyết toán</t>
  </si>
  <si>
    <t>7980333 - Đường Cầu treo – Pờ Chồ 3, xã Lùng Phình huyện Bắc Hà tỉnh Lào Cai</t>
  </si>
  <si>
    <t>7981268 - Đường Lả Dì Thàng đi xã Bản Phố, xã Tả Van Chư, huyện Bắc Hà, tỉnh Lào Cai</t>
  </si>
  <si>
    <t>7981868 - Đường Seng Sui - Nà Mổ Cái, xã Lùng Thẩn, huyện Si Ma Cai</t>
  </si>
  <si>
    <t>7981869 - Đường liên thôn từ thôn Seng Sui đến thôn Nàng Cảng 2, xã Lùng Thẩn, huyện Si Ma Cai</t>
  </si>
  <si>
    <t>8074653 - Đường Nàng Cảng 2 - Seng Sui xã Lùng Thẩn, huyện Si Ma Cai</t>
  </si>
  <si>
    <t>8074654 - Đường QL4 - thôn Lênh Sui Thàng xã Lùng Thẩn, huyện Si Ma Cai</t>
  </si>
  <si>
    <t>8074655 - Đường nội đồng Chính Chư Phìn 2 xã Lùng Thẩn huyện Si Ma Cai</t>
  </si>
  <si>
    <t>8074656 - Đường Lùng Sui - Lùng Cải xã Lùng Thẩn huyện Si Ma Cai</t>
  </si>
  <si>
    <t>8114818 - Đường Pả Chư Tỷ- Quán Hóa xã Lùng Phình, huyện Bắc Hà</t>
  </si>
  <si>
    <t>8118007 - Trường PTDTBT TH số 1 xã Lùng Thẩn, huyện Si Ma Cai (PH Nà Trí Phàng 1)</t>
  </si>
  <si>
    <t>7972194 - Trạm y tế xã Lùng Phình, huyện Bắc Hà, tỉnh Lào Cai.</t>
  </si>
  <si>
    <t>8158354 - Trường Mầm non Lùng Phình, điểm trường Lử Chồ, xã Lùng Phình, huyện Bắc Hà</t>
  </si>
  <si>
    <t>8156846 - Đường khu sản xuất thôn Sín Chải, xã Tả Van Chư, huyện Bắc Hà, tỉnh Lào Cai</t>
  </si>
  <si>
    <t>Tỷ lệ giải ngân cam kết đến hết quý III/2026</t>
  </si>
  <si>
    <t>Kế hoạch vốn năm 2026 (bao gồm cả vốn kéo dài)</t>
  </si>
  <si>
    <t>(Kèm theo Công văn số     /UBND-KT ngày 16 tháng 7 năm 2026 của UBND xã Lùng Phình)</t>
  </si>
  <si>
    <t>Đăng ký cam kết giải ngân hết quý IV/2026 (100%) kế hoạch</t>
  </si>
  <si>
    <t>Dư ứng 5,95 tỷ. Do đó KL phải đạt tối thiểu 8,45/14,6 tỷ tương đường 58% giá trị HĐXL</t>
  </si>
  <si>
    <t>Lũy kế 6 tháng đầu năm 2026</t>
  </si>
  <si>
    <t>Dư ứng 5,95 tỷ. Do đó KL trong quý III phải đạt tối thiểu 8,45/14,6 tỷ tương đường 58% giá trị HĐXL</t>
  </si>
  <si>
    <t>THEO DÕI TIẾN ĐỘ GIẢI NGÂN ĐẦU TƯ CÔNG TRÊN ĐỊA BÀN XÃ LÙNG PHÌNH NĂM 2026</t>
  </si>
  <si>
    <t>(Kèm theo Báo cáo số     /BC-PKT ngày       tháng 7 năm 2026 của Phòng Kinh tế xã Lùng Phình)</t>
  </si>
  <si>
    <t>Biểu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</si>
</sst>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_(* #,##0_);_(* \(#,##0\);_(* &quot;-&quot;??_);_(@_)"/>
    <numFmt numFmtId="166" formatCode="0.0%"/>
    <numFmt numFmtId="167" formatCode="_(* #,##0.0_);_(* \(#,##0.0\);_(* &quot;-&quot;??_);_(@_)"/>
    <numFmt numFmtId="168" formatCode="_(* #,##0.000_);_(* \(#,##0.000\);_(* &quot;-&quot;??_);_(@_)"/>
    <numFmt numFmtId="169" formatCode="_(* #,##0.0000_);_(* \(#,##0.0000\);_(* &quot;-&quot;??_);_(@_)"/>
    <numFmt numFmtId="170" formatCode="_-* #,##0\ _₫_-;\-* #,##0\ _₫_-;_-* &quot;-&quot;??\ _₫_-;_-@_-"/>
    <numFmt numFmtId="171" formatCode="0.000"/>
    <numFmt numFmtId="172" formatCode="0.0"/>
    <numFmt numFmtId="173" formatCode="#,##0.0"/>
    <numFmt numFmtId="174" formatCode="#,##0.0_ ;\-#,##0.0\ "/>
    <numFmt numFmtId="175" formatCode="#,##0_ ;\-#,##0\ "/>
  </numFmts>
  <fonts count="19" x14ac:knownFonts="1">
    <font>
      <sz val="11"/>
      <color theme="1"/>
      <name val="Aptos Narrow"/>
      <family val="2"/>
      <scheme val="minor"/>
    </font>
    <font>
      <sz val="11"/>
      <color theme="1"/>
      <name val="Aptos Narrow"/>
      <family val="2"/>
      <scheme val="minor"/>
    </font>
    <font>
      <sz val="12"/>
      <name val="Times New Roman"/>
      <family val="1"/>
    </font>
    <font>
      <sz val="8"/>
      <name val="Aptos Narrow"/>
      <family val="2"/>
      <scheme val="minor"/>
    </font>
    <font>
      <sz val="10"/>
      <name val="Arial"/>
      <family val="2"/>
    </font>
    <font>
      <sz val="11"/>
      <color indexed="8"/>
      <name val="Arial"/>
      <family val="2"/>
    </font>
    <font>
      <sz val="13"/>
      <name val="Times New Roman"/>
      <family val="1"/>
    </font>
    <font>
      <sz val="14"/>
      <name val="Times New Roman"/>
      <family val="1"/>
    </font>
    <font>
      <b/>
      <sz val="13"/>
      <name val="Times New Roman"/>
      <family val="1"/>
    </font>
    <font>
      <i/>
      <sz val="13"/>
      <name val="Times New Roman"/>
      <family val="1"/>
    </font>
    <font>
      <sz val="13"/>
      <color rgb="FFFF0000"/>
      <name val="Times New Roman"/>
      <family val="1"/>
    </font>
    <font>
      <sz val="10"/>
      <name val="Arial"/>
      <family val="2"/>
    </font>
    <font>
      <b/>
      <sz val="12"/>
      <name val="Times New Roman"/>
      <family val="1"/>
    </font>
    <font>
      <i/>
      <sz val="12"/>
      <name val="Times New Roman"/>
      <family val="1"/>
    </font>
    <font>
      <sz val="12"/>
      <color rgb="FFFF0000"/>
      <name val="Times New Roman"/>
      <family val="1"/>
    </font>
    <font>
      <b/>
      <sz val="12"/>
      <color rgb="FFFF0000"/>
      <name val="Times New Roman"/>
      <family val="1"/>
    </font>
    <font>
      <b/>
      <sz val="13"/>
      <color rgb="FFFF0000"/>
      <name val="Times New Roman"/>
      <family val="1"/>
    </font>
    <font>
      <b/>
      <sz val="14"/>
      <name val="Times New Roman"/>
      <family val="1"/>
    </font>
    <font>
      <i/>
      <sz val="14"/>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164" fontId="5" fillId="0" borderId="0" applyFont="0" applyFill="0" applyBorder="0" applyAlignment="0" applyProtection="0"/>
    <xf numFmtId="0" fontId="11" fillId="0" borderId="0"/>
    <xf numFmtId="0" fontId="4" fillId="0" borderId="0"/>
  </cellStyleXfs>
  <cellXfs count="170">
    <xf numFmtId="0" fontId="0" fillId="0" borderId="0" xfId="0"/>
    <xf numFmtId="0" fontId="6" fillId="2" borderId="1" xfId="0" applyFont="1" applyFill="1" applyBorder="1" applyAlignment="1">
      <alignment horizontal="center" vertical="center" wrapText="1"/>
    </xf>
    <xf numFmtId="0" fontId="6" fillId="2" borderId="1" xfId="4" applyFont="1" applyFill="1" applyBorder="1" applyAlignment="1">
      <alignment horizontal="center" vertical="center"/>
    </xf>
    <xf numFmtId="0" fontId="6" fillId="2" borderId="1" xfId="0" applyFont="1" applyFill="1" applyBorder="1" applyAlignment="1">
      <alignment vertical="center" wrapText="1"/>
    </xf>
    <xf numFmtId="0" fontId="8" fillId="2" borderId="1" xfId="0" applyFont="1" applyFill="1" applyBorder="1" applyAlignment="1">
      <alignment horizontal="center" vertical="center" wrapText="1"/>
    </xf>
    <xf numFmtId="165" fontId="8" fillId="2" borderId="1" xfId="1"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65" fontId="6" fillId="2" borderId="1" xfId="1" applyNumberFormat="1" applyFont="1" applyFill="1" applyBorder="1" applyAlignment="1">
      <alignment horizontal="center" vertical="center" wrapText="1"/>
    </xf>
    <xf numFmtId="0" fontId="8" fillId="2" borderId="1" xfId="0" applyFont="1" applyFill="1" applyBorder="1" applyAlignment="1">
      <alignment vertical="center" wrapText="1"/>
    </xf>
    <xf numFmtId="165" fontId="8" fillId="2" borderId="1" xfId="1" applyNumberFormat="1" applyFont="1" applyFill="1" applyBorder="1" applyAlignment="1">
      <alignment horizontal="right" vertical="center" wrapText="1"/>
    </xf>
    <xf numFmtId="9" fontId="8" fillId="2" borderId="1" xfId="2" applyFont="1" applyFill="1" applyBorder="1" applyAlignment="1">
      <alignment horizontal="center" vertical="center" wrapText="1"/>
    </xf>
    <xf numFmtId="0" fontId="6" fillId="2" borderId="1" xfId="0" applyFont="1" applyFill="1" applyBorder="1" applyAlignment="1">
      <alignment horizontal="justify" vertical="center" wrapText="1"/>
    </xf>
    <xf numFmtId="165" fontId="6" fillId="2" borderId="1" xfId="1" applyNumberFormat="1" applyFont="1" applyFill="1" applyBorder="1" applyAlignment="1">
      <alignment vertical="center" wrapText="1"/>
    </xf>
    <xf numFmtId="9" fontId="6" fillId="2" borderId="1" xfId="2"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2" borderId="1" xfId="4" applyFont="1" applyFill="1" applyBorder="1" applyAlignment="1">
      <alignment horizontal="center" vertical="center"/>
    </xf>
    <xf numFmtId="166" fontId="8" fillId="2" borderId="1" xfId="2" applyNumberFormat="1" applyFont="1" applyFill="1" applyBorder="1" applyAlignment="1">
      <alignment horizontal="center" vertical="center" wrapText="1"/>
    </xf>
    <xf numFmtId="0" fontId="10" fillId="2" borderId="1" xfId="4" applyFont="1" applyFill="1" applyBorder="1" applyAlignment="1">
      <alignment horizontal="center" vertical="center"/>
    </xf>
    <xf numFmtId="0" fontId="10" fillId="2" borderId="1" xfId="0" applyFont="1" applyFill="1" applyBorder="1" applyAlignment="1">
      <alignment vertical="center" wrapText="1"/>
    </xf>
    <xf numFmtId="165" fontId="10" fillId="2" borderId="1" xfId="1" applyNumberFormat="1" applyFont="1" applyFill="1" applyBorder="1" applyAlignment="1">
      <alignment vertical="center" wrapText="1"/>
    </xf>
    <xf numFmtId="9" fontId="10" fillId="2" borderId="1" xfId="2"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165" fontId="6" fillId="3" borderId="1" xfId="1" applyNumberFormat="1" applyFont="1" applyFill="1" applyBorder="1" applyAlignment="1">
      <alignment vertical="center" wrapText="1"/>
    </xf>
    <xf numFmtId="9" fontId="6" fillId="3" borderId="1" xfId="2" applyFont="1" applyFill="1" applyBorder="1" applyAlignment="1">
      <alignment horizontal="center" vertical="center" wrapText="1"/>
    </xf>
    <xf numFmtId="0" fontId="8" fillId="2" borderId="0" xfId="0" applyFont="1" applyFill="1" applyAlignment="1">
      <alignment horizontal="center"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9" fontId="6" fillId="2" borderId="0" xfId="2" applyFont="1" applyFill="1" applyAlignment="1">
      <alignment vertical="center" wrapText="1"/>
    </xf>
    <xf numFmtId="165" fontId="6" fillId="2" borderId="0" xfId="1" applyNumberFormat="1" applyFont="1" applyFill="1" applyAlignment="1">
      <alignment vertical="center" wrapText="1"/>
    </xf>
    <xf numFmtId="0" fontId="9" fillId="2" borderId="0" xfId="0" applyFont="1" applyFill="1" applyAlignment="1">
      <alignment horizontal="right" vertical="center" wrapText="1"/>
    </xf>
    <xf numFmtId="165" fontId="8" fillId="2" borderId="0" xfId="0" applyNumberFormat="1" applyFont="1" applyFill="1" applyAlignment="1">
      <alignment vertical="center" wrapText="1"/>
    </xf>
    <xf numFmtId="0" fontId="8" fillId="2" borderId="0" xfId="0" applyFont="1" applyFill="1" applyAlignment="1">
      <alignment vertical="center" wrapText="1"/>
    </xf>
    <xf numFmtId="0" fontId="10" fillId="2" borderId="0" xfId="0" applyFont="1" applyFill="1" applyAlignment="1">
      <alignment vertical="center" wrapText="1"/>
    </xf>
    <xf numFmtId="0" fontId="6" fillId="3" borderId="0" xfId="0" applyFont="1" applyFill="1" applyAlignment="1">
      <alignment vertical="center" wrapText="1"/>
    </xf>
    <xf numFmtId="0" fontId="6" fillId="3" borderId="1" xfId="4" applyFont="1" applyFill="1" applyBorder="1" applyAlignment="1">
      <alignment horizontal="center" vertical="center"/>
    </xf>
    <xf numFmtId="165" fontId="6" fillId="2" borderId="1" xfId="1" applyNumberFormat="1" applyFont="1" applyFill="1" applyBorder="1" applyAlignment="1">
      <alignment vertical="center"/>
    </xf>
    <xf numFmtId="165" fontId="10" fillId="2" borderId="1" xfId="1" applyNumberFormat="1" applyFont="1" applyFill="1" applyBorder="1" applyAlignment="1">
      <alignment horizontal="center" vertical="center" wrapText="1"/>
    </xf>
    <xf numFmtId="165" fontId="10" fillId="2" borderId="1" xfId="1" applyNumberFormat="1" applyFont="1" applyFill="1" applyBorder="1" applyAlignment="1">
      <alignment vertical="center"/>
    </xf>
    <xf numFmtId="165" fontId="8" fillId="2" borderId="1" xfId="1" applyNumberFormat="1" applyFont="1" applyFill="1" applyBorder="1" applyAlignment="1">
      <alignment vertical="center"/>
    </xf>
    <xf numFmtId="165" fontId="10" fillId="2" borderId="1" xfId="1" applyNumberFormat="1" applyFont="1" applyFill="1" applyBorder="1" applyAlignment="1">
      <alignment horizontal="right" vertical="center" wrapText="1"/>
    </xf>
    <xf numFmtId="165" fontId="6" fillId="3" borderId="1" xfId="1" applyNumberFormat="1" applyFont="1" applyFill="1" applyBorder="1" applyAlignment="1">
      <alignment vertical="center"/>
    </xf>
    <xf numFmtId="165" fontId="6" fillId="2" borderId="1" xfId="1" applyNumberFormat="1" applyFont="1" applyFill="1" applyBorder="1" applyAlignment="1">
      <alignment horizontal="right" vertical="center" wrapText="1"/>
    </xf>
    <xf numFmtId="165" fontId="8"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65" fontId="12" fillId="2" borderId="1" xfId="1"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5" fontId="12" fillId="2" borderId="1" xfId="1" applyNumberFormat="1" applyFont="1" applyFill="1" applyBorder="1" applyAlignment="1">
      <alignment horizontal="right" vertical="center" wrapText="1"/>
    </xf>
    <xf numFmtId="166" fontId="12" fillId="2" borderId="1" xfId="2" applyNumberFormat="1" applyFont="1" applyFill="1" applyBorder="1" applyAlignment="1">
      <alignment horizontal="center" vertical="center" wrapText="1"/>
    </xf>
    <xf numFmtId="0" fontId="12" fillId="2" borderId="1" xfId="0" applyFont="1" applyFill="1" applyBorder="1" applyAlignment="1">
      <alignment vertical="center" wrapText="1"/>
    </xf>
    <xf numFmtId="165" fontId="12" fillId="2" borderId="1" xfId="0" applyNumberFormat="1" applyFont="1" applyFill="1" applyBorder="1" applyAlignment="1">
      <alignment horizontal="center" vertical="center" wrapText="1"/>
    </xf>
    <xf numFmtId="165" fontId="12" fillId="2" borderId="1" xfId="0" applyNumberFormat="1" applyFont="1" applyFill="1" applyBorder="1" applyAlignment="1">
      <alignment vertical="center" wrapText="1"/>
    </xf>
    <xf numFmtId="9" fontId="12" fillId="2" borderId="1" xfId="2" applyFont="1" applyFill="1" applyBorder="1" applyAlignment="1">
      <alignment horizontal="center" vertical="center" wrapText="1"/>
    </xf>
    <xf numFmtId="0" fontId="2" fillId="2" borderId="1" xfId="4" applyFont="1" applyFill="1" applyBorder="1" applyAlignment="1">
      <alignment horizontal="center" vertical="center"/>
    </xf>
    <xf numFmtId="0" fontId="2" fillId="2" borderId="1" xfId="0" applyFont="1" applyFill="1" applyBorder="1" applyAlignment="1">
      <alignment horizontal="justify" vertical="center" wrapText="1"/>
    </xf>
    <xf numFmtId="1" fontId="2" fillId="2" borderId="1" xfId="7" applyNumberFormat="1" applyFont="1" applyFill="1" applyBorder="1" applyAlignment="1">
      <alignment horizontal="center" vertical="center" wrapText="1"/>
    </xf>
    <xf numFmtId="165" fontId="2" fillId="2" borderId="1" xfId="1" applyNumberFormat="1" applyFont="1" applyFill="1" applyBorder="1" applyAlignment="1">
      <alignment vertical="center"/>
    </xf>
    <xf numFmtId="165" fontId="2" fillId="2" borderId="1" xfId="1" applyNumberFormat="1" applyFont="1" applyFill="1" applyBorder="1" applyAlignment="1">
      <alignment vertical="center" wrapText="1"/>
    </xf>
    <xf numFmtId="9" fontId="2" fillId="2" borderId="1" xfId="2" applyFont="1" applyFill="1" applyBorder="1" applyAlignment="1">
      <alignment horizontal="center" vertical="center" wrapText="1"/>
    </xf>
    <xf numFmtId="0" fontId="14" fillId="2" borderId="1" xfId="0" applyFont="1" applyFill="1" applyBorder="1" applyAlignment="1">
      <alignment horizontal="justify" vertical="center" wrapText="1"/>
    </xf>
    <xf numFmtId="165" fontId="14" fillId="2" borderId="1" xfId="1" applyNumberFormat="1" applyFont="1" applyFill="1" applyBorder="1" applyAlignment="1">
      <alignment horizontal="center" vertical="center" wrapText="1"/>
    </xf>
    <xf numFmtId="165" fontId="14" fillId="2" borderId="1" xfId="1" applyNumberFormat="1" applyFont="1" applyFill="1" applyBorder="1" applyAlignment="1">
      <alignment vertical="center"/>
    </xf>
    <xf numFmtId="165" fontId="14" fillId="2" borderId="1" xfId="1" applyNumberFormat="1" applyFont="1" applyFill="1" applyBorder="1" applyAlignment="1">
      <alignment vertical="center" wrapText="1"/>
    </xf>
    <xf numFmtId="9" fontId="14" fillId="2" borderId="1" xfId="2" applyFont="1" applyFill="1" applyBorder="1" applyAlignment="1">
      <alignment horizontal="center" vertical="center" wrapText="1"/>
    </xf>
    <xf numFmtId="165" fontId="12" fillId="2" borderId="1" xfId="1" applyNumberFormat="1" applyFont="1" applyFill="1" applyBorder="1" applyAlignment="1">
      <alignment vertical="center"/>
    </xf>
    <xf numFmtId="0" fontId="2" fillId="2" borderId="1" xfId="0" applyFont="1" applyFill="1" applyBorder="1" applyAlignment="1">
      <alignment vertical="center" wrapText="1"/>
    </xf>
    <xf numFmtId="165" fontId="14" fillId="2" borderId="1" xfId="1" applyNumberFormat="1" applyFont="1" applyFill="1" applyBorder="1" applyAlignment="1">
      <alignment horizontal="right" vertical="center" wrapText="1"/>
    </xf>
    <xf numFmtId="0" fontId="14" fillId="2" borderId="1" xfId="0" applyFont="1" applyFill="1" applyBorder="1" applyAlignment="1">
      <alignment vertical="center" wrapText="1"/>
    </xf>
    <xf numFmtId="0" fontId="12" fillId="2" borderId="1" xfId="4" applyFont="1" applyFill="1" applyBorder="1" applyAlignment="1">
      <alignment horizontal="center" vertical="center"/>
    </xf>
    <xf numFmtId="165" fontId="15" fillId="2" borderId="1" xfId="1" applyNumberFormat="1" applyFont="1" applyFill="1" applyBorder="1" applyAlignment="1">
      <alignment horizontal="right" vertical="center" wrapText="1"/>
    </xf>
    <xf numFmtId="165" fontId="2" fillId="2" borderId="1" xfId="1" applyNumberFormat="1" applyFont="1" applyFill="1" applyBorder="1" applyAlignment="1">
      <alignment horizontal="right" vertical="center" wrapText="1"/>
    </xf>
    <xf numFmtId="0" fontId="2" fillId="2" borderId="1" xfId="6" applyFont="1" applyFill="1" applyBorder="1" applyAlignment="1">
      <alignment vertical="center" wrapText="1"/>
    </xf>
    <xf numFmtId="0" fontId="12" fillId="2" borderId="1" xfId="0" applyFont="1" applyFill="1" applyBorder="1" applyAlignment="1">
      <alignment horizontal="justify" vertical="center" wrapText="1"/>
    </xf>
    <xf numFmtId="10" fontId="12" fillId="2" borderId="1" xfId="2"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4" xfId="0" applyFont="1" applyFill="1" applyBorder="1" applyAlignment="1">
      <alignment horizontal="left" vertical="center" wrapText="1"/>
    </xf>
    <xf numFmtId="1" fontId="2" fillId="3" borderId="1" xfId="7" applyNumberFormat="1" applyFont="1" applyFill="1" applyBorder="1" applyAlignment="1">
      <alignment horizontal="center" vertical="center" wrapText="1"/>
    </xf>
    <xf numFmtId="165" fontId="14" fillId="3" borderId="1" xfId="1" applyNumberFormat="1" applyFont="1" applyFill="1" applyBorder="1" applyAlignment="1">
      <alignment horizontal="right" vertical="center" wrapText="1"/>
    </xf>
    <xf numFmtId="165" fontId="2" fillId="3" borderId="1" xfId="1" applyNumberFormat="1" applyFont="1" applyFill="1" applyBorder="1" applyAlignment="1">
      <alignment vertical="center"/>
    </xf>
    <xf numFmtId="165" fontId="2" fillId="3" borderId="1" xfId="1" applyNumberFormat="1" applyFont="1" applyFill="1" applyBorder="1" applyAlignment="1">
      <alignment vertical="center" wrapText="1"/>
    </xf>
    <xf numFmtId="9" fontId="2" fillId="3" borderId="1" xfId="2" applyFont="1" applyFill="1" applyBorder="1" applyAlignment="1">
      <alignment horizontal="center" vertical="center" wrapText="1"/>
    </xf>
    <xf numFmtId="167" fontId="2" fillId="2" borderId="1" xfId="1" applyNumberFormat="1" applyFont="1" applyFill="1" applyBorder="1" applyAlignment="1">
      <alignment vertical="center" wrapText="1"/>
    </xf>
    <xf numFmtId="165" fontId="14" fillId="3" borderId="1" xfId="1" applyNumberFormat="1" applyFont="1" applyFill="1" applyBorder="1" applyAlignment="1">
      <alignment vertical="center" wrapText="1"/>
    </xf>
    <xf numFmtId="168" fontId="8" fillId="2" borderId="0" xfId="0" applyNumberFormat="1" applyFont="1" applyFill="1" applyAlignment="1">
      <alignment vertical="center" wrapText="1"/>
    </xf>
    <xf numFmtId="165" fontId="2" fillId="3" borderId="1" xfId="1" applyNumberFormat="1" applyFont="1" applyFill="1" applyBorder="1" applyAlignment="1">
      <alignment horizontal="right" vertical="center" wrapText="1"/>
    </xf>
    <xf numFmtId="0" fontId="14" fillId="3" borderId="1" xfId="0" applyFont="1" applyFill="1" applyBorder="1" applyAlignment="1">
      <alignment horizontal="center" vertical="center" wrapText="1"/>
    </xf>
    <xf numFmtId="165" fontId="12" fillId="3" borderId="1" xfId="1" applyNumberFormat="1" applyFont="1" applyFill="1" applyBorder="1" applyAlignment="1">
      <alignment horizontal="center" vertical="center" wrapText="1"/>
    </xf>
    <xf numFmtId="165" fontId="12" fillId="3" borderId="1" xfId="1" applyNumberFormat="1" applyFont="1" applyFill="1" applyBorder="1" applyAlignment="1">
      <alignment horizontal="right" vertical="center" wrapText="1"/>
    </xf>
    <xf numFmtId="165" fontId="12" fillId="3" borderId="1" xfId="1" applyNumberFormat="1" applyFont="1" applyFill="1" applyBorder="1" applyAlignment="1">
      <alignment vertical="center"/>
    </xf>
    <xf numFmtId="165" fontId="15" fillId="3" borderId="1" xfId="1" applyNumberFormat="1" applyFont="1" applyFill="1" applyBorder="1" applyAlignment="1">
      <alignment horizontal="right" vertical="center" wrapText="1"/>
    </xf>
    <xf numFmtId="165" fontId="12" fillId="3" borderId="1" xfId="0" applyNumberFormat="1" applyFont="1" applyFill="1" applyBorder="1" applyAlignment="1">
      <alignment vertical="center" wrapText="1"/>
    </xf>
    <xf numFmtId="165" fontId="2" fillId="0" borderId="1" xfId="1" applyNumberFormat="1" applyFont="1" applyFill="1" applyBorder="1" applyAlignment="1">
      <alignment horizontal="right" vertical="center" wrapText="1"/>
    </xf>
    <xf numFmtId="2" fontId="12" fillId="3" borderId="1" xfId="0" applyNumberFormat="1" applyFont="1" applyFill="1" applyBorder="1" applyAlignment="1">
      <alignment vertical="center" wrapText="1"/>
    </xf>
    <xf numFmtId="0" fontId="14" fillId="2" borderId="1" xfId="0" applyFont="1" applyFill="1" applyBorder="1" applyAlignment="1">
      <alignment horizontal="center" vertical="center" wrapText="1"/>
    </xf>
    <xf numFmtId="0" fontId="7" fillId="2" borderId="4" xfId="0" applyFont="1" applyFill="1" applyBorder="1" applyAlignment="1">
      <alignment horizontal="left" vertical="center" wrapText="1"/>
    </xf>
    <xf numFmtId="1" fontId="14" fillId="2" borderId="1" xfId="7" applyNumberFormat="1" applyFont="1" applyFill="1" applyBorder="1" applyAlignment="1">
      <alignment horizontal="center" vertical="center" wrapText="1"/>
    </xf>
    <xf numFmtId="165" fontId="15" fillId="2" borderId="1" xfId="1" applyNumberFormat="1" applyFont="1" applyFill="1" applyBorder="1" applyAlignment="1">
      <alignment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6" fillId="2" borderId="0" xfId="0" applyFont="1" applyFill="1" applyAlignment="1">
      <alignment vertical="center" wrapText="1"/>
    </xf>
    <xf numFmtId="0" fontId="14" fillId="2" borderId="1" xfId="6" applyFont="1" applyFill="1" applyBorder="1" applyAlignment="1">
      <alignment vertical="center" wrapText="1"/>
    </xf>
    <xf numFmtId="0" fontId="12" fillId="2" borderId="1" xfId="0" applyFont="1" applyFill="1" applyBorder="1" applyAlignment="1">
      <alignment horizontal="center" vertical="center"/>
    </xf>
    <xf numFmtId="0" fontId="12" fillId="2" borderId="0" xfId="0" applyFont="1" applyFill="1" applyAlignment="1">
      <alignment horizontal="center" vertical="center"/>
    </xf>
    <xf numFmtId="170" fontId="12" fillId="2" borderId="1" xfId="1" applyNumberFormat="1" applyFont="1" applyFill="1" applyBorder="1" applyAlignment="1">
      <alignment vertical="center" wrapText="1"/>
    </xf>
    <xf numFmtId="0" fontId="12" fillId="2" borderId="1" xfId="0" applyFont="1" applyFill="1" applyBorder="1" applyAlignment="1">
      <alignment horizontal="right" vertical="center" wrapText="1"/>
    </xf>
    <xf numFmtId="171" fontId="12" fillId="2" borderId="0" xfId="0" applyNumberFormat="1" applyFont="1" applyFill="1" applyAlignment="1">
      <alignment horizontal="center" vertical="center"/>
    </xf>
    <xf numFmtId="170" fontId="12" fillId="2" borderId="1" xfId="1" applyNumberFormat="1" applyFont="1" applyFill="1" applyBorder="1" applyAlignment="1"/>
    <xf numFmtId="0" fontId="12" fillId="2" borderId="1" xfId="0" applyFont="1" applyFill="1" applyBorder="1"/>
    <xf numFmtId="170" fontId="12" fillId="2" borderId="0" xfId="0" applyNumberFormat="1" applyFont="1" applyFill="1"/>
    <xf numFmtId="0" fontId="12" fillId="2" borderId="0" xfId="0" applyFont="1" applyFill="1"/>
    <xf numFmtId="171" fontId="12" fillId="2" borderId="0" xfId="0" applyNumberFormat="1" applyFont="1" applyFill="1"/>
    <xf numFmtId="170" fontId="2" fillId="2" borderId="1" xfId="0" applyNumberFormat="1" applyFont="1" applyFill="1" applyBorder="1" applyAlignment="1">
      <alignment horizontal="right" vertical="center" wrapText="1"/>
    </xf>
    <xf numFmtId="0" fontId="2" fillId="2" borderId="1" xfId="0" applyFont="1" applyFill="1" applyBorder="1"/>
    <xf numFmtId="0" fontId="2" fillId="2" borderId="0" xfId="0" applyFont="1" applyFill="1"/>
    <xf numFmtId="170" fontId="2" fillId="2" borderId="0" xfId="0" applyNumberFormat="1" applyFont="1" applyFill="1"/>
    <xf numFmtId="0" fontId="2" fillId="2" borderId="1" xfId="0" applyFont="1" applyFill="1" applyBorder="1" applyAlignment="1">
      <alignment horizontal="center" wrapText="1"/>
    </xf>
    <xf numFmtId="172" fontId="2" fillId="2" borderId="0" xfId="0" applyNumberFormat="1" applyFont="1" applyFill="1"/>
    <xf numFmtId="0" fontId="2" fillId="2" borderId="0" xfId="0" applyFont="1" applyFill="1" applyAlignment="1">
      <alignment horizontal="center"/>
    </xf>
    <xf numFmtId="170" fontId="12" fillId="2" borderId="0" xfId="0" applyNumberFormat="1" applyFont="1" applyFill="1" applyAlignment="1">
      <alignment horizontal="center" vertical="center"/>
    </xf>
    <xf numFmtId="166" fontId="12" fillId="2" borderId="1" xfId="1" applyNumberFormat="1" applyFont="1" applyFill="1" applyBorder="1" applyAlignment="1">
      <alignment vertical="center" wrapText="1"/>
    </xf>
    <xf numFmtId="166" fontId="2" fillId="2" borderId="1" xfId="1" applyNumberFormat="1" applyFont="1" applyFill="1" applyBorder="1" applyAlignment="1">
      <alignment vertical="center" wrapText="1"/>
    </xf>
    <xf numFmtId="173" fontId="12" fillId="2" borderId="1" xfId="0" applyNumberFormat="1" applyFont="1" applyFill="1" applyBorder="1" applyAlignment="1">
      <alignment wrapText="1"/>
    </xf>
    <xf numFmtId="173" fontId="12" fillId="2" borderId="1" xfId="0" applyNumberFormat="1" applyFont="1" applyFill="1" applyBorder="1"/>
    <xf numFmtId="3" fontId="12" fillId="2" borderId="1" xfId="1" applyNumberFormat="1" applyFont="1" applyFill="1" applyBorder="1" applyAlignment="1">
      <alignment vertical="center" wrapText="1"/>
    </xf>
    <xf numFmtId="3" fontId="12" fillId="2" borderId="1" xfId="1" applyNumberFormat="1" applyFont="1" applyFill="1" applyBorder="1" applyAlignment="1"/>
    <xf numFmtId="173" fontId="2" fillId="2" borderId="1" xfId="0" applyNumberFormat="1" applyFont="1" applyFill="1" applyBorder="1" applyAlignment="1">
      <alignment vertical="center"/>
    </xf>
    <xf numFmtId="173" fontId="12" fillId="2" borderId="1" xfId="0" applyNumberFormat="1" applyFont="1" applyFill="1" applyBorder="1" applyAlignment="1">
      <alignment vertical="center"/>
    </xf>
    <xf numFmtId="173" fontId="2" fillId="2" borderId="1" xfId="0" applyNumberFormat="1" applyFont="1" applyFill="1" applyBorder="1" applyAlignment="1">
      <alignment vertical="center" wrapText="1"/>
    </xf>
    <xf numFmtId="3" fontId="12" fillId="2" borderId="1" xfId="0" applyNumberFormat="1" applyFont="1" applyFill="1" applyBorder="1" applyAlignment="1">
      <alignment vertical="center"/>
    </xf>
    <xf numFmtId="174" fontId="2" fillId="2" borderId="1" xfId="1" applyNumberFormat="1" applyFont="1" applyFill="1" applyBorder="1" applyAlignment="1">
      <alignment vertical="center"/>
    </xf>
    <xf numFmtId="175" fontId="12" fillId="2" borderId="1" xfId="1" applyNumberFormat="1" applyFont="1" applyFill="1" applyBorder="1" applyAlignment="1">
      <alignment vertical="center"/>
    </xf>
    <xf numFmtId="0" fontId="2" fillId="2" borderId="1" xfId="0" applyFont="1" applyFill="1" applyBorder="1" applyAlignment="1">
      <alignment horizontal="center" vertical="center"/>
    </xf>
    <xf numFmtId="0" fontId="12" fillId="2" borderId="1" xfId="0" applyFont="1" applyFill="1" applyBorder="1" applyAlignment="1">
      <alignment vertical="center"/>
    </xf>
    <xf numFmtId="0" fontId="2" fillId="3" borderId="1" xfId="0" applyFont="1" applyFill="1" applyBorder="1" applyAlignment="1">
      <alignment vertical="center" wrapText="1"/>
    </xf>
    <xf numFmtId="0" fontId="2" fillId="3" borderId="1" xfId="6" applyFont="1" applyFill="1" applyBorder="1" applyAlignment="1">
      <alignment vertical="center" wrapText="1"/>
    </xf>
    <xf numFmtId="165" fontId="12" fillId="2" borderId="1" xfId="1" applyNumberFormat="1" applyFont="1" applyFill="1" applyBorder="1" applyAlignment="1">
      <alignment vertical="center" wrapText="1"/>
    </xf>
    <xf numFmtId="169" fontId="8" fillId="2" borderId="0" xfId="0" applyNumberFormat="1" applyFont="1" applyFill="1" applyAlignment="1">
      <alignment vertical="center" wrapText="1"/>
    </xf>
    <xf numFmtId="0" fontId="12" fillId="3" borderId="1" xfId="4" applyFont="1" applyFill="1" applyBorder="1" applyAlignment="1">
      <alignment horizontal="center" vertical="center"/>
    </xf>
    <xf numFmtId="0" fontId="12" fillId="3" borderId="1" xfId="0" applyFont="1" applyFill="1" applyBorder="1" applyAlignment="1">
      <alignment vertical="center" wrapText="1"/>
    </xf>
    <xf numFmtId="9" fontId="12" fillId="3" borderId="1" xfId="2" applyFont="1" applyFill="1" applyBorder="1" applyAlignment="1">
      <alignment horizontal="center" vertical="center" wrapText="1"/>
    </xf>
    <xf numFmtId="0" fontId="12" fillId="3" borderId="1" xfId="0" applyFont="1" applyFill="1" applyBorder="1" applyAlignment="1">
      <alignment horizontal="center" vertical="center" wrapText="1"/>
    </xf>
    <xf numFmtId="165" fontId="8" fillId="3" borderId="0" xfId="0" applyNumberFormat="1" applyFont="1" applyFill="1" applyAlignment="1">
      <alignment vertical="center" wrapText="1"/>
    </xf>
    <xf numFmtId="0" fontId="8" fillId="3" borderId="0" xfId="0" applyFont="1" applyFill="1" applyAlignment="1">
      <alignment vertical="center" wrapText="1"/>
    </xf>
    <xf numFmtId="0" fontId="2" fillId="3" borderId="1" xfId="4" applyFont="1" applyFill="1" applyBorder="1" applyAlignment="1">
      <alignment horizontal="center" vertical="center"/>
    </xf>
    <xf numFmtId="167" fontId="2" fillId="3" borderId="1" xfId="1" applyNumberFormat="1" applyFont="1" applyFill="1" applyBorder="1" applyAlignment="1">
      <alignment vertical="center" wrapText="1"/>
    </xf>
    <xf numFmtId="0" fontId="13" fillId="2" borderId="0" xfId="0" applyFont="1" applyFill="1" applyAlignment="1">
      <alignment horizontal="right"/>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165" fontId="8" fillId="2" borderId="1" xfId="1" applyNumberFormat="1" applyFont="1" applyFill="1" applyBorder="1" applyAlignment="1">
      <alignment horizontal="center" vertical="center" wrapText="1"/>
    </xf>
    <xf numFmtId="0" fontId="8" fillId="2" borderId="1" xfId="0" applyFont="1" applyFill="1" applyBorder="1" applyAlignment="1">
      <alignment horizontal="center"/>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165" fontId="12" fillId="2" borderId="1" xfId="1" applyNumberFormat="1" applyFont="1" applyFill="1" applyBorder="1" applyAlignment="1">
      <alignment horizontal="center" vertical="center" wrapText="1"/>
    </xf>
    <xf numFmtId="0" fontId="12" fillId="2" borderId="1" xfId="0" applyFont="1" applyFill="1" applyBorder="1" applyAlignment="1">
      <alignment horizont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7" fillId="2" borderId="0" xfId="0" applyFont="1" applyFill="1" applyAlignment="1">
      <alignment horizontal="center"/>
    </xf>
    <xf numFmtId="0" fontId="17" fillId="2" borderId="0" xfId="0" applyFont="1" applyFill="1" applyAlignment="1">
      <alignment horizontal="center"/>
    </xf>
    <xf numFmtId="0" fontId="18" fillId="2" borderId="0" xfId="0" applyFont="1" applyFill="1" applyAlignment="1">
      <alignment horizontal="center"/>
    </xf>
  </cellXfs>
  <cellStyles count="8">
    <cellStyle name="Comma" xfId="1" builtinId="3"/>
    <cellStyle name="Comma 21 5 2" xfId="5" xr:uid="{2588F19C-1AA4-4928-9C6E-C1359E06A1D0}"/>
    <cellStyle name="Ledger 17 x 11 in 2 2" xfId="3" xr:uid="{0302EBE1-855F-405B-BCCD-6658D8518C32}"/>
    <cellStyle name="Ledger 17 x 11 in_BH" xfId="6" xr:uid="{B1B30FE1-D973-4348-AA33-A61B44150A48}"/>
    <cellStyle name="Normal" xfId="0" builtinId="0"/>
    <cellStyle name="Normal 10 3 2" xfId="4" xr:uid="{5317BE26-4846-42A4-8D2F-EFAE264C3772}"/>
    <cellStyle name="Normal_Bieu mau (CV )" xfId="7" xr:uid="{D12A6EEC-184C-47E7-80CE-7AF863ACCB7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Dropbox\2.%20PHONG%20KINH%20TE%20LUNG%20PHINH\27.%20DAU%20TU%20CONG%20NAM%202026\&#272;&#7907;t%204\BIEU%20KEM%20THEO%20BAO%20CAO.xlsx" TargetMode="External"/><Relationship Id="rId1" Type="http://schemas.openxmlformats.org/officeDocument/2006/relationships/externalLinkPath" Target="file:///C:\Users\DELL\Dropbox\2.%20PHONG%20KINH%20TE%20LUNG%20PHINH\27.%20DAU%20TU%20CONG%20NAM%202026\&#272;&#7907;t%204\BIEU%20KEM%20THEO%20BAO%20CA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BTH-KH2025"/>
      <sheetName val="Biểu 01.TH"/>
      <sheetName val="Bieu 01TH"/>
      <sheetName val="B02- XDCB TT"/>
      <sheetName val="B03-BSCMT"/>
      <sheetName val="B04-DAT"/>
      <sheetName val="B05- BSNS XÃ (GTNT)"/>
      <sheetName val="B06- TĂNG THU"/>
      <sheetName val="B07. MTQG"/>
      <sheetName val="B08. DPNSTW"/>
      <sheetName val="B03-BSCMT (2)"/>
      <sheetName val="B04-DAT (2)"/>
      <sheetName val="B06- TĂNG THU (2)"/>
      <sheetName val="B07. MTQG (2)"/>
      <sheetName val="B04-TANG THU"/>
      <sheetName val="B06-Khac"/>
      <sheetName val="12. DTTS NST"/>
      <sheetName val="15 GNBV"/>
      <sheetName val="16 GNBV du an cap t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view="pageBreakPreview" topLeftCell="A10" zoomScaleNormal="85" zoomScaleSheetLayoutView="100" zoomScalePageLayoutView="52" workbookViewId="0">
      <selection activeCell="M19" sqref="M19"/>
    </sheetView>
  </sheetViews>
  <sheetFormatPr defaultColWidth="9.140625" defaultRowHeight="16.5" x14ac:dyDescent="0.25"/>
  <cols>
    <col min="1" max="1" width="7.140625" style="29" customWidth="1"/>
    <col min="2" max="2" width="51" style="28" customWidth="1"/>
    <col min="3" max="3" width="12.42578125" style="28" customWidth="1"/>
    <col min="4" max="4" width="13.28515625" style="31" customWidth="1"/>
    <col min="5" max="5" width="15.85546875" style="31" customWidth="1"/>
    <col min="6" max="6" width="12" style="31" customWidth="1"/>
    <col min="7" max="7" width="22.28515625" style="28" customWidth="1"/>
    <col min="8" max="8" width="10.140625" style="29" customWidth="1"/>
    <col min="9" max="9" width="10.85546875" style="28" customWidth="1"/>
    <col min="10" max="10" width="9.140625" style="29"/>
    <col min="11" max="16384" width="9.140625" style="28"/>
  </cols>
  <sheetData>
    <row r="1" spans="1:10" x14ac:dyDescent="0.25">
      <c r="A1" s="153" t="s">
        <v>8</v>
      </c>
      <c r="B1" s="153"/>
      <c r="C1" s="153"/>
      <c r="D1" s="153"/>
      <c r="E1" s="153"/>
      <c r="F1" s="153"/>
      <c r="G1" s="153"/>
      <c r="H1" s="153"/>
      <c r="I1" s="153"/>
    </row>
    <row r="2" spans="1:10" x14ac:dyDescent="0.25">
      <c r="A2" s="153" t="s">
        <v>9</v>
      </c>
      <c r="B2" s="153"/>
      <c r="C2" s="153"/>
      <c r="D2" s="153"/>
      <c r="E2" s="153"/>
      <c r="F2" s="153"/>
      <c r="G2" s="153"/>
      <c r="H2" s="153"/>
      <c r="I2" s="153"/>
    </row>
    <row r="3" spans="1:10" x14ac:dyDescent="0.25">
      <c r="A3" s="155" t="s">
        <v>12</v>
      </c>
      <c r="B3" s="155"/>
      <c r="C3" s="155"/>
      <c r="D3" s="155"/>
      <c r="E3" s="155"/>
      <c r="F3" s="155"/>
      <c r="G3" s="155"/>
      <c r="H3" s="155"/>
      <c r="I3" s="155"/>
    </row>
    <row r="4" spans="1:10" ht="33" x14ac:dyDescent="0.25">
      <c r="B4" s="30"/>
      <c r="C4" s="30"/>
      <c r="D4" s="30"/>
      <c r="I4" s="32" t="s">
        <v>11</v>
      </c>
    </row>
    <row r="5" spans="1:10" s="27" customFormat="1" x14ac:dyDescent="0.25">
      <c r="A5" s="154" t="s">
        <v>3</v>
      </c>
      <c r="B5" s="154" t="s">
        <v>0</v>
      </c>
      <c r="C5" s="156" t="s">
        <v>38</v>
      </c>
      <c r="D5" s="156" t="s">
        <v>1</v>
      </c>
      <c r="E5" s="156" t="s">
        <v>6</v>
      </c>
      <c r="F5" s="157" t="s">
        <v>10</v>
      </c>
      <c r="G5" s="157"/>
      <c r="H5" s="156" t="s">
        <v>41</v>
      </c>
      <c r="I5" s="154" t="s">
        <v>5</v>
      </c>
      <c r="J5" s="151" t="s">
        <v>5</v>
      </c>
    </row>
    <row r="6" spans="1:10" s="27" customFormat="1" ht="49.5" x14ac:dyDescent="0.25">
      <c r="A6" s="154"/>
      <c r="B6" s="154"/>
      <c r="C6" s="156"/>
      <c r="D6" s="156"/>
      <c r="E6" s="156"/>
      <c r="F6" s="5" t="s">
        <v>4</v>
      </c>
      <c r="G6" s="5" t="s">
        <v>18</v>
      </c>
      <c r="H6" s="156"/>
      <c r="I6" s="154"/>
      <c r="J6" s="152"/>
    </row>
    <row r="7" spans="1:10" s="27" customFormat="1" x14ac:dyDescent="0.25">
      <c r="A7" s="6">
        <v>1</v>
      </c>
      <c r="B7" s="6">
        <v>2</v>
      </c>
      <c r="C7" s="6"/>
      <c r="D7" s="7">
        <v>3</v>
      </c>
      <c r="E7" s="7">
        <v>4</v>
      </c>
      <c r="F7" s="7">
        <v>5</v>
      </c>
      <c r="G7" s="1">
        <v>6</v>
      </c>
      <c r="H7" s="1" t="s">
        <v>7</v>
      </c>
      <c r="I7" s="6">
        <v>8</v>
      </c>
      <c r="J7" s="4"/>
    </row>
    <row r="8" spans="1:10" s="34" customFormat="1" x14ac:dyDescent="0.25">
      <c r="A8" s="4"/>
      <c r="B8" s="4" t="s">
        <v>36</v>
      </c>
      <c r="C8" s="4"/>
      <c r="D8" s="9">
        <f>+D9+D18+D26</f>
        <v>21070</v>
      </c>
      <c r="E8" s="9">
        <f t="shared" ref="E8:G8" si="0">+E9+E18+E26</f>
        <v>1000</v>
      </c>
      <c r="F8" s="9">
        <f t="shared" si="0"/>
        <v>8307.94</v>
      </c>
      <c r="G8" s="9">
        <f t="shared" si="0"/>
        <v>9307.94</v>
      </c>
      <c r="H8" s="16">
        <f>G8/D8</f>
        <v>0.44176269577598481</v>
      </c>
      <c r="I8" s="8"/>
      <c r="J8" s="45">
        <f>21070-D8</f>
        <v>0</v>
      </c>
    </row>
    <row r="9" spans="1:10" s="34" customFormat="1" ht="56.25" customHeight="1" x14ac:dyDescent="0.25">
      <c r="A9" s="4" t="s">
        <v>2</v>
      </c>
      <c r="B9" s="8" t="s">
        <v>35</v>
      </c>
      <c r="C9" s="8"/>
      <c r="D9" s="9">
        <f>SUM(D10:D17)</f>
        <v>6400</v>
      </c>
      <c r="E9" s="9">
        <f t="shared" ref="E9:G9" si="1">SUM(E10:E17)</f>
        <v>0</v>
      </c>
      <c r="F9" s="9">
        <f t="shared" si="1"/>
        <v>4447.9400000000005</v>
      </c>
      <c r="G9" s="9">
        <f t="shared" si="1"/>
        <v>4447.9400000000005</v>
      </c>
      <c r="H9" s="10">
        <f t="shared" ref="H9:H30" si="2">G9/D9</f>
        <v>0.69499062500000008</v>
      </c>
      <c r="I9" s="8"/>
      <c r="J9" s="45"/>
    </row>
    <row r="10" spans="1:10" ht="33" x14ac:dyDescent="0.25">
      <c r="A10" s="2">
        <v>2</v>
      </c>
      <c r="B10" s="11" t="s">
        <v>19</v>
      </c>
      <c r="C10" s="7">
        <v>686</v>
      </c>
      <c r="D10" s="38">
        <v>686</v>
      </c>
      <c r="E10" s="7">
        <v>0</v>
      </c>
      <c r="F10" s="12">
        <f>+D10*79%</f>
        <v>541.94000000000005</v>
      </c>
      <c r="G10" s="12">
        <f t="shared" ref="G10:G30" si="3">E10+F10</f>
        <v>541.94000000000005</v>
      </c>
      <c r="H10" s="13">
        <f t="shared" si="2"/>
        <v>0.79</v>
      </c>
      <c r="I10" s="1" t="s">
        <v>40</v>
      </c>
      <c r="J10" s="1" t="s">
        <v>52</v>
      </c>
    </row>
    <row r="11" spans="1:10" ht="33" x14ac:dyDescent="0.25">
      <c r="A11" s="1">
        <v>3</v>
      </c>
      <c r="B11" s="11" t="s">
        <v>20</v>
      </c>
      <c r="C11" s="7">
        <v>674</v>
      </c>
      <c r="D11" s="38">
        <v>476</v>
      </c>
      <c r="E11" s="12"/>
      <c r="F11" s="12">
        <v>476</v>
      </c>
      <c r="G11" s="12">
        <f t="shared" si="3"/>
        <v>476</v>
      </c>
      <c r="H11" s="13">
        <f t="shared" si="2"/>
        <v>1</v>
      </c>
      <c r="I11" s="13">
        <f>+F11/C11</f>
        <v>0.70623145400593468</v>
      </c>
      <c r="J11" s="1" t="s">
        <v>52</v>
      </c>
    </row>
    <row r="12" spans="1:10" ht="33" x14ac:dyDescent="0.25">
      <c r="A12" s="2">
        <v>4</v>
      </c>
      <c r="B12" s="11" t="s">
        <v>21</v>
      </c>
      <c r="C12" s="7">
        <v>919</v>
      </c>
      <c r="D12" s="38">
        <v>644</v>
      </c>
      <c r="E12" s="12"/>
      <c r="F12" s="12">
        <v>644</v>
      </c>
      <c r="G12" s="12">
        <f t="shared" si="3"/>
        <v>644</v>
      </c>
      <c r="H12" s="13">
        <f t="shared" si="2"/>
        <v>1</v>
      </c>
      <c r="I12" s="13">
        <f t="shared" ref="I12:I24" si="4">+F12/C12</f>
        <v>0.70076169749727968</v>
      </c>
      <c r="J12" s="1" t="s">
        <v>52</v>
      </c>
    </row>
    <row r="13" spans="1:10" x14ac:dyDescent="0.25">
      <c r="A13" s="1">
        <v>5</v>
      </c>
      <c r="B13" s="11" t="s">
        <v>22</v>
      </c>
      <c r="C13" s="7">
        <v>300</v>
      </c>
      <c r="D13" s="38">
        <v>300</v>
      </c>
      <c r="E13" s="12"/>
      <c r="F13" s="12">
        <f t="shared" ref="F13" si="5">+D13*79%</f>
        <v>237</v>
      </c>
      <c r="G13" s="12">
        <f t="shared" si="3"/>
        <v>237</v>
      </c>
      <c r="H13" s="13">
        <f t="shared" si="2"/>
        <v>0.79</v>
      </c>
      <c r="I13" s="13">
        <f t="shared" si="4"/>
        <v>0.79</v>
      </c>
      <c r="J13" s="1" t="s">
        <v>52</v>
      </c>
    </row>
    <row r="14" spans="1:10" ht="33" x14ac:dyDescent="0.25">
      <c r="A14" s="2">
        <v>6</v>
      </c>
      <c r="B14" s="11" t="s">
        <v>23</v>
      </c>
      <c r="C14" s="7">
        <v>684</v>
      </c>
      <c r="D14" s="38">
        <v>479</v>
      </c>
      <c r="E14" s="12"/>
      <c r="F14" s="12">
        <v>479</v>
      </c>
      <c r="G14" s="12">
        <f t="shared" si="3"/>
        <v>479</v>
      </c>
      <c r="H14" s="13">
        <f t="shared" si="2"/>
        <v>1</v>
      </c>
      <c r="I14" s="13">
        <f t="shared" si="4"/>
        <v>0.70029239766081874</v>
      </c>
      <c r="J14" s="1" t="s">
        <v>52</v>
      </c>
    </row>
    <row r="15" spans="1:10" s="35" customFormat="1" ht="33" x14ac:dyDescent="0.25">
      <c r="A15" s="21">
        <v>7</v>
      </c>
      <c r="B15" s="22" t="s">
        <v>24</v>
      </c>
      <c r="C15" s="39">
        <v>1613</v>
      </c>
      <c r="D15" s="40">
        <v>1129</v>
      </c>
      <c r="E15" s="19"/>
      <c r="F15" s="19">
        <v>1000</v>
      </c>
      <c r="G15" s="19">
        <f t="shared" si="3"/>
        <v>1000</v>
      </c>
      <c r="H15" s="20">
        <f t="shared" si="2"/>
        <v>0.8857395925597874</v>
      </c>
      <c r="I15" s="20">
        <f t="shared" si="4"/>
        <v>0.61996280223186606</v>
      </c>
      <c r="J15" s="1" t="s">
        <v>52</v>
      </c>
    </row>
    <row r="16" spans="1:10" ht="33" x14ac:dyDescent="0.25">
      <c r="A16" s="2">
        <v>8</v>
      </c>
      <c r="B16" s="11" t="s">
        <v>25</v>
      </c>
      <c r="C16" s="7">
        <v>91</v>
      </c>
      <c r="D16" s="38">
        <v>91</v>
      </c>
      <c r="E16" s="12"/>
      <c r="F16" s="12">
        <v>70</v>
      </c>
      <c r="G16" s="12">
        <f t="shared" si="3"/>
        <v>70</v>
      </c>
      <c r="H16" s="13">
        <f t="shared" si="2"/>
        <v>0.76923076923076927</v>
      </c>
      <c r="I16" s="13">
        <f t="shared" si="4"/>
        <v>0.76923076923076927</v>
      </c>
      <c r="J16" s="1" t="s">
        <v>52</v>
      </c>
    </row>
    <row r="17" spans="1:10" s="35" customFormat="1" ht="33" x14ac:dyDescent="0.25">
      <c r="A17" s="21">
        <v>9</v>
      </c>
      <c r="B17" s="22" t="s">
        <v>26</v>
      </c>
      <c r="C17" s="39">
        <v>2623</v>
      </c>
      <c r="D17" s="40">
        <v>2595</v>
      </c>
      <c r="E17" s="19"/>
      <c r="F17" s="19">
        <v>1000</v>
      </c>
      <c r="G17" s="19">
        <f t="shared" si="3"/>
        <v>1000</v>
      </c>
      <c r="H17" s="20">
        <f t="shared" si="2"/>
        <v>0.38535645472061658</v>
      </c>
      <c r="I17" s="20">
        <f t="shared" si="4"/>
        <v>0.38124285169653072</v>
      </c>
      <c r="J17" s="1" t="s">
        <v>52</v>
      </c>
    </row>
    <row r="18" spans="1:10" s="34" customFormat="1" ht="49.5" x14ac:dyDescent="0.25">
      <c r="A18" s="4" t="s">
        <v>32</v>
      </c>
      <c r="B18" s="14" t="s">
        <v>37</v>
      </c>
      <c r="C18" s="5"/>
      <c r="D18" s="41">
        <f>SUM(D19:D25)</f>
        <v>4670</v>
      </c>
      <c r="E18" s="41">
        <f t="shared" ref="E18:G18" si="6">SUM(E19:E25)</f>
        <v>0</v>
      </c>
      <c r="F18" s="41">
        <f t="shared" si="6"/>
        <v>2860</v>
      </c>
      <c r="G18" s="41">
        <f t="shared" si="6"/>
        <v>2860</v>
      </c>
      <c r="H18" s="10">
        <f t="shared" si="2"/>
        <v>0.61241970021413272</v>
      </c>
      <c r="I18" s="13"/>
      <c r="J18" s="4"/>
    </row>
    <row r="19" spans="1:10" ht="33" x14ac:dyDescent="0.25">
      <c r="A19" s="2">
        <v>10</v>
      </c>
      <c r="B19" s="3" t="s">
        <v>51</v>
      </c>
      <c r="C19" s="7">
        <v>700</v>
      </c>
      <c r="D19" s="38">
        <v>350</v>
      </c>
      <c r="E19" s="12"/>
      <c r="F19" s="12">
        <v>350</v>
      </c>
      <c r="G19" s="12">
        <f t="shared" si="3"/>
        <v>350</v>
      </c>
      <c r="H19" s="13">
        <f t="shared" si="2"/>
        <v>1</v>
      </c>
      <c r="I19" s="13">
        <f t="shared" si="4"/>
        <v>0.5</v>
      </c>
      <c r="J19" s="1" t="s">
        <v>52</v>
      </c>
    </row>
    <row r="20" spans="1:10" ht="49.5" x14ac:dyDescent="0.25">
      <c r="A20" s="1">
        <v>11</v>
      </c>
      <c r="B20" s="3" t="s">
        <v>27</v>
      </c>
      <c r="C20" s="42">
        <v>2000</v>
      </c>
      <c r="D20" s="38">
        <v>1500</v>
      </c>
      <c r="E20" s="12"/>
      <c r="F20" s="12">
        <v>1000</v>
      </c>
      <c r="G20" s="12">
        <f t="shared" si="3"/>
        <v>1000</v>
      </c>
      <c r="H20" s="13">
        <f t="shared" si="2"/>
        <v>0.66666666666666663</v>
      </c>
      <c r="I20" s="13">
        <f t="shared" si="4"/>
        <v>0.5</v>
      </c>
      <c r="J20" s="1" t="s">
        <v>52</v>
      </c>
    </row>
    <row r="21" spans="1:10" ht="33" x14ac:dyDescent="0.25">
      <c r="A21" s="2">
        <v>12</v>
      </c>
      <c r="B21" s="3" t="s">
        <v>28</v>
      </c>
      <c r="C21" s="42">
        <v>420</v>
      </c>
      <c r="D21" s="38">
        <v>210</v>
      </c>
      <c r="E21" s="12"/>
      <c r="F21" s="12">
        <v>210</v>
      </c>
      <c r="G21" s="12">
        <f t="shared" si="3"/>
        <v>210</v>
      </c>
      <c r="H21" s="13">
        <f t="shared" si="2"/>
        <v>1</v>
      </c>
      <c r="I21" s="13">
        <f t="shared" si="4"/>
        <v>0.5</v>
      </c>
      <c r="J21" s="1"/>
    </row>
    <row r="22" spans="1:10" s="36" customFormat="1" x14ac:dyDescent="0.25">
      <c r="A22" s="23">
        <v>13</v>
      </c>
      <c r="B22" s="24" t="s">
        <v>17</v>
      </c>
      <c r="C22" s="42"/>
      <c r="D22" s="43">
        <v>860</v>
      </c>
      <c r="E22" s="25"/>
      <c r="F22" s="25"/>
      <c r="G22" s="25"/>
      <c r="H22" s="26"/>
      <c r="I22" s="26"/>
      <c r="J22" s="23"/>
    </row>
    <row r="23" spans="1:10" s="35" customFormat="1" ht="33" x14ac:dyDescent="0.25">
      <c r="A23" s="17">
        <v>14</v>
      </c>
      <c r="B23" s="18" t="s">
        <v>13</v>
      </c>
      <c r="C23" s="42">
        <v>800</v>
      </c>
      <c r="D23" s="40">
        <v>600</v>
      </c>
      <c r="E23" s="19"/>
      <c r="F23" s="19">
        <v>600</v>
      </c>
      <c r="G23" s="19">
        <f t="shared" si="3"/>
        <v>600</v>
      </c>
      <c r="H23" s="20">
        <f t="shared" si="2"/>
        <v>1</v>
      </c>
      <c r="I23" s="13">
        <f t="shared" si="4"/>
        <v>0.75</v>
      </c>
      <c r="J23" s="1" t="s">
        <v>52</v>
      </c>
    </row>
    <row r="24" spans="1:10" s="35" customFormat="1" ht="33" x14ac:dyDescent="0.25">
      <c r="A24" s="21">
        <v>15</v>
      </c>
      <c r="B24" s="18" t="s">
        <v>14</v>
      </c>
      <c r="C24" s="42">
        <v>1000</v>
      </c>
      <c r="D24" s="40">
        <v>750</v>
      </c>
      <c r="E24" s="19"/>
      <c r="F24" s="19">
        <v>700</v>
      </c>
      <c r="G24" s="19">
        <f t="shared" si="3"/>
        <v>700</v>
      </c>
      <c r="H24" s="20">
        <f t="shared" si="2"/>
        <v>0.93333333333333335</v>
      </c>
      <c r="I24" s="13">
        <f t="shared" si="4"/>
        <v>0.7</v>
      </c>
      <c r="J24" s="1" t="s">
        <v>52</v>
      </c>
    </row>
    <row r="25" spans="1:10" s="36" customFormat="1" ht="33" x14ac:dyDescent="0.25">
      <c r="A25" s="37">
        <v>16</v>
      </c>
      <c r="B25" s="24" t="s">
        <v>16</v>
      </c>
      <c r="C25" s="42"/>
      <c r="D25" s="43">
        <v>400</v>
      </c>
      <c r="E25" s="25"/>
      <c r="F25" s="25">
        <v>0</v>
      </c>
      <c r="G25" s="25">
        <f t="shared" si="3"/>
        <v>0</v>
      </c>
      <c r="H25" s="26">
        <f t="shared" si="2"/>
        <v>0</v>
      </c>
      <c r="I25" s="26"/>
      <c r="J25" s="23"/>
    </row>
    <row r="26" spans="1:10" s="34" customFormat="1" ht="33" x14ac:dyDescent="0.25">
      <c r="A26" s="15" t="s">
        <v>34</v>
      </c>
      <c r="B26" s="8" t="s">
        <v>33</v>
      </c>
      <c r="C26" s="42"/>
      <c r="D26" s="41">
        <f>SUM(D27:D30)</f>
        <v>10000</v>
      </c>
      <c r="E26" s="41">
        <f t="shared" ref="E26:G26" si="7">SUM(E27:E30)</f>
        <v>1000</v>
      </c>
      <c r="F26" s="41">
        <f t="shared" si="7"/>
        <v>1000</v>
      </c>
      <c r="G26" s="41">
        <f t="shared" si="7"/>
        <v>2000</v>
      </c>
      <c r="H26" s="10">
        <f t="shared" si="2"/>
        <v>0.2</v>
      </c>
      <c r="I26" s="13"/>
      <c r="J26" s="4"/>
    </row>
    <row r="27" spans="1:10" ht="33" x14ac:dyDescent="0.25">
      <c r="A27" s="1">
        <v>17</v>
      </c>
      <c r="B27" s="3" t="s">
        <v>29</v>
      </c>
      <c r="C27" s="42"/>
      <c r="D27" s="44">
        <v>1200</v>
      </c>
      <c r="E27" s="12">
        <v>1000</v>
      </c>
      <c r="F27" s="12">
        <v>200</v>
      </c>
      <c r="G27" s="12">
        <f t="shared" si="3"/>
        <v>1200</v>
      </c>
      <c r="H27" s="13">
        <f t="shared" si="2"/>
        <v>1</v>
      </c>
      <c r="I27" s="13"/>
      <c r="J27" s="1" t="s">
        <v>54</v>
      </c>
    </row>
    <row r="28" spans="1:10" s="35" customFormat="1" ht="33" x14ac:dyDescent="0.25">
      <c r="A28" s="17">
        <v>18</v>
      </c>
      <c r="B28" s="18" t="s">
        <v>30</v>
      </c>
      <c r="C28" s="42">
        <v>17380</v>
      </c>
      <c r="D28" s="42">
        <v>8000</v>
      </c>
      <c r="E28" s="19"/>
      <c r="F28" s="19"/>
      <c r="G28" s="19">
        <f t="shared" si="3"/>
        <v>0</v>
      </c>
      <c r="H28" s="20">
        <f t="shared" si="2"/>
        <v>0</v>
      </c>
      <c r="I28" s="13" t="s">
        <v>39</v>
      </c>
      <c r="J28" s="21" t="s">
        <v>53</v>
      </c>
    </row>
    <row r="29" spans="1:10" ht="33" x14ac:dyDescent="0.25">
      <c r="A29" s="1">
        <v>19</v>
      </c>
      <c r="B29" s="3" t="s">
        <v>31</v>
      </c>
      <c r="C29" s="42">
        <v>1150</v>
      </c>
      <c r="D29" s="38">
        <v>500</v>
      </c>
      <c r="E29" s="12"/>
      <c r="F29" s="12">
        <v>500</v>
      </c>
      <c r="G29" s="12">
        <f t="shared" si="3"/>
        <v>500</v>
      </c>
      <c r="H29" s="13">
        <f t="shared" si="2"/>
        <v>1</v>
      </c>
      <c r="I29" s="13"/>
      <c r="J29" s="21" t="s">
        <v>53</v>
      </c>
    </row>
    <row r="30" spans="1:10" ht="33" x14ac:dyDescent="0.25">
      <c r="A30" s="2">
        <v>20</v>
      </c>
      <c r="B30" s="3" t="s">
        <v>15</v>
      </c>
      <c r="C30" s="42"/>
      <c r="D30" s="38">
        <v>300</v>
      </c>
      <c r="E30" s="12"/>
      <c r="F30" s="12">
        <v>300</v>
      </c>
      <c r="G30" s="12">
        <f t="shared" si="3"/>
        <v>300</v>
      </c>
      <c r="H30" s="13">
        <f t="shared" si="2"/>
        <v>1</v>
      </c>
      <c r="I30" s="13"/>
      <c r="J30" s="1" t="s">
        <v>55</v>
      </c>
    </row>
  </sheetData>
  <mergeCells count="12">
    <mergeCell ref="J5:J6"/>
    <mergeCell ref="A1:I1"/>
    <mergeCell ref="A2:I2"/>
    <mergeCell ref="B5:B6"/>
    <mergeCell ref="A5:A6"/>
    <mergeCell ref="I5:I6"/>
    <mergeCell ref="A3:I3"/>
    <mergeCell ref="D5:D6"/>
    <mergeCell ref="E5:E6"/>
    <mergeCell ref="F5:G5"/>
    <mergeCell ref="H5:H6"/>
    <mergeCell ref="C5:C6"/>
  </mergeCells>
  <phoneticPr fontId="3" type="noConversion"/>
  <pageMargins left="0.66" right="0.39370078740157483" top="0.74803149606299213" bottom="0.74803149606299213" header="0.31496062992125984" footer="0.31496062992125984"/>
  <pageSetup paperSize="9" scale="55"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25CE-12D3-4E78-B9AD-F523CAC75D5C}">
  <dimension ref="A1:R53"/>
  <sheetViews>
    <sheetView view="pageBreakPreview" zoomScale="70" zoomScaleNormal="85" zoomScaleSheetLayoutView="70" zoomScalePageLayoutView="52" workbookViewId="0">
      <selection activeCell="R12" sqref="R12"/>
    </sheetView>
  </sheetViews>
  <sheetFormatPr defaultColWidth="9.140625" defaultRowHeight="16.5" x14ac:dyDescent="0.25"/>
  <cols>
    <col min="1" max="1" width="7.140625" style="29" customWidth="1"/>
    <col min="2" max="2" width="49.7109375" style="28" customWidth="1"/>
    <col min="3" max="3" width="13.140625" style="28" customWidth="1"/>
    <col min="4" max="4" width="11.140625" style="28" customWidth="1"/>
    <col min="5" max="5" width="13.28515625" style="31" customWidth="1"/>
    <col min="6" max="6" width="10.7109375" style="31" customWidth="1"/>
    <col min="7" max="7" width="10.140625" style="31" hidden="1" customWidth="1"/>
    <col min="8" max="8" width="13.140625" style="31" hidden="1" customWidth="1"/>
    <col min="9" max="9" width="17.85546875" style="36" customWidth="1"/>
    <col min="10" max="10" width="10.42578125" style="28" hidden="1" customWidth="1"/>
    <col min="11" max="11" width="10.140625" style="29" customWidth="1"/>
    <col min="12" max="13" width="10.85546875" style="28" customWidth="1"/>
    <col min="14" max="14" width="0" style="29" hidden="1" customWidth="1"/>
    <col min="15" max="15" width="9.140625" style="29"/>
    <col min="16" max="16" width="19.42578125" style="29" customWidth="1"/>
    <col min="17" max="17" width="9.85546875" style="28" bestFit="1" customWidth="1"/>
    <col min="18" max="18" width="14.7109375" style="28" bestFit="1" customWidth="1"/>
    <col min="19" max="16384" width="9.140625" style="28"/>
  </cols>
  <sheetData>
    <row r="1" spans="1:18" ht="16.5" customHeight="1" x14ac:dyDescent="0.25">
      <c r="A1" s="153" t="s">
        <v>8</v>
      </c>
      <c r="B1" s="153"/>
      <c r="C1" s="153"/>
      <c r="D1" s="153"/>
      <c r="E1" s="153"/>
      <c r="F1" s="153"/>
      <c r="G1" s="153"/>
      <c r="H1" s="153"/>
      <c r="I1" s="153"/>
      <c r="J1" s="153"/>
      <c r="K1" s="153"/>
      <c r="L1" s="153"/>
      <c r="M1" s="153"/>
      <c r="N1" s="153"/>
      <c r="O1" s="153"/>
      <c r="P1" s="153"/>
    </row>
    <row r="2" spans="1:18" ht="16.5" customHeight="1" x14ac:dyDescent="0.25">
      <c r="A2" s="153" t="s">
        <v>105</v>
      </c>
      <c r="B2" s="153"/>
      <c r="C2" s="153"/>
      <c r="D2" s="153"/>
      <c r="E2" s="153"/>
      <c r="F2" s="153"/>
      <c r="G2" s="153"/>
      <c r="H2" s="153"/>
      <c r="I2" s="153"/>
      <c r="J2" s="153"/>
      <c r="K2" s="153"/>
      <c r="L2" s="153"/>
      <c r="M2" s="153"/>
      <c r="N2" s="153"/>
      <c r="O2" s="153"/>
      <c r="P2" s="153"/>
    </row>
    <row r="3" spans="1:18" x14ac:dyDescent="0.25">
      <c r="B3" s="30"/>
      <c r="C3" s="30"/>
      <c r="D3" s="30"/>
      <c r="E3" s="30"/>
      <c r="L3" s="161" t="s">
        <v>11</v>
      </c>
      <c r="M3" s="161"/>
      <c r="N3" s="161"/>
      <c r="O3" s="161"/>
    </row>
    <row r="4" spans="1:18" s="27" customFormat="1" ht="16.5" customHeight="1" x14ac:dyDescent="0.25">
      <c r="A4" s="162" t="s">
        <v>3</v>
      </c>
      <c r="B4" s="162" t="s">
        <v>0</v>
      </c>
      <c r="C4" s="165" t="s">
        <v>59</v>
      </c>
      <c r="D4" s="163" t="s">
        <v>38</v>
      </c>
      <c r="E4" s="163" t="s">
        <v>1</v>
      </c>
      <c r="F4" s="163" t="s">
        <v>57</v>
      </c>
      <c r="G4" s="164" t="s">
        <v>10</v>
      </c>
      <c r="H4" s="164"/>
      <c r="I4" s="164"/>
      <c r="J4" s="163" t="s">
        <v>92</v>
      </c>
      <c r="K4" s="163" t="s">
        <v>41</v>
      </c>
      <c r="L4" s="162" t="s">
        <v>93</v>
      </c>
      <c r="M4" s="165" t="s">
        <v>77</v>
      </c>
      <c r="N4" s="165" t="s">
        <v>88</v>
      </c>
      <c r="O4" s="165" t="s">
        <v>88</v>
      </c>
      <c r="P4" s="165" t="s">
        <v>5</v>
      </c>
    </row>
    <row r="5" spans="1:18" s="27" customFormat="1" ht="47.25" x14ac:dyDescent="0.25">
      <c r="A5" s="162"/>
      <c r="B5" s="162"/>
      <c r="C5" s="166"/>
      <c r="D5" s="163"/>
      <c r="E5" s="163"/>
      <c r="F5" s="163"/>
      <c r="G5" s="47" t="s">
        <v>4</v>
      </c>
      <c r="H5" s="47" t="s">
        <v>104</v>
      </c>
      <c r="I5" s="91" t="s">
        <v>173</v>
      </c>
      <c r="J5" s="163"/>
      <c r="K5" s="163"/>
      <c r="L5" s="162"/>
      <c r="M5" s="166"/>
      <c r="N5" s="166"/>
      <c r="O5" s="166"/>
      <c r="P5" s="166"/>
    </row>
    <row r="6" spans="1:18" s="27" customFormat="1" x14ac:dyDescent="0.25">
      <c r="A6" s="48">
        <v>1</v>
      </c>
      <c r="B6" s="48">
        <v>2</v>
      </c>
      <c r="C6" s="48"/>
      <c r="D6" s="48"/>
      <c r="E6" s="49">
        <v>3</v>
      </c>
      <c r="F6" s="49">
        <v>4</v>
      </c>
      <c r="G6" s="49">
        <v>5</v>
      </c>
      <c r="H6" s="49"/>
      <c r="I6" s="79">
        <v>6</v>
      </c>
      <c r="J6" s="50"/>
      <c r="K6" s="50" t="s">
        <v>7</v>
      </c>
      <c r="L6" s="48">
        <v>8</v>
      </c>
      <c r="M6" s="48"/>
      <c r="N6" s="46"/>
      <c r="O6" s="46"/>
      <c r="P6" s="46"/>
    </row>
    <row r="7" spans="1:18" s="34" customFormat="1" x14ac:dyDescent="0.25">
      <c r="A7" s="46"/>
      <c r="B7" s="46" t="s">
        <v>36</v>
      </c>
      <c r="C7" s="46"/>
      <c r="D7" s="51">
        <f>+D8+D17+D25+D32+D43+D48+D52</f>
        <v>80632.943660000004</v>
      </c>
      <c r="E7" s="51">
        <f>+E8+E17+E25+E32+E43+E48+2405</f>
        <v>29649</v>
      </c>
      <c r="F7" s="51">
        <f>+F8+F17+F25+F32+F43+F48</f>
        <v>1000</v>
      </c>
      <c r="G7" s="51"/>
      <c r="H7" s="51">
        <f>+H8+H17+H25+H32+H43+H48</f>
        <v>12981.37947</v>
      </c>
      <c r="I7" s="92">
        <f>+I8+I17+I25+I32+I43+I48</f>
        <v>13518.75547</v>
      </c>
      <c r="J7" s="77">
        <f>F7/E7</f>
        <v>3.3727950352457084E-2</v>
      </c>
      <c r="K7" s="52">
        <f>I7/E7</f>
        <v>0.45595991331916758</v>
      </c>
      <c r="L7" s="53"/>
      <c r="M7" s="53"/>
      <c r="N7" s="54"/>
      <c r="O7" s="54"/>
      <c r="P7" s="54"/>
      <c r="Q7" s="33"/>
      <c r="R7" s="88"/>
    </row>
    <row r="8" spans="1:18" s="34" customFormat="1" ht="56.25" customHeight="1" x14ac:dyDescent="0.25">
      <c r="A8" s="46" t="s">
        <v>2</v>
      </c>
      <c r="B8" s="53" t="s">
        <v>35</v>
      </c>
      <c r="C8" s="53"/>
      <c r="D8" s="55">
        <f>SUM(D9:D16)</f>
        <v>7590</v>
      </c>
      <c r="E8" s="51">
        <f>SUM(E9:E16)</f>
        <v>6400</v>
      </c>
      <c r="F8" s="51">
        <f t="shared" ref="F8:I8" si="0">SUM(F9:F16)</f>
        <v>0</v>
      </c>
      <c r="G8" s="51"/>
      <c r="H8" s="51">
        <f t="shared" si="0"/>
        <v>4549</v>
      </c>
      <c r="I8" s="92">
        <f t="shared" si="0"/>
        <v>4549</v>
      </c>
      <c r="J8" s="51"/>
      <c r="K8" s="56">
        <f t="shared" ref="K8:K32" si="1">I8/E8</f>
        <v>0.71078125000000003</v>
      </c>
      <c r="L8" s="53"/>
      <c r="M8" s="53"/>
      <c r="N8" s="54"/>
      <c r="O8" s="54"/>
      <c r="P8" s="54"/>
      <c r="Q8" s="33"/>
      <c r="R8" s="33"/>
    </row>
    <row r="9" spans="1:18" ht="31.5" x14ac:dyDescent="0.25">
      <c r="A9" s="57">
        <v>1</v>
      </c>
      <c r="B9" s="58" t="s">
        <v>19</v>
      </c>
      <c r="C9" s="59">
        <v>2026</v>
      </c>
      <c r="D9" s="49">
        <v>686</v>
      </c>
      <c r="E9" s="60">
        <v>686</v>
      </c>
      <c r="F9" s="49">
        <v>0</v>
      </c>
      <c r="G9" s="61"/>
      <c r="H9" s="61">
        <v>620</v>
      </c>
      <c r="I9" s="89">
        <v>620</v>
      </c>
      <c r="J9" s="61"/>
      <c r="K9" s="62">
        <f t="shared" si="1"/>
        <v>0.90379008746355682</v>
      </c>
      <c r="L9" s="50" t="s">
        <v>40</v>
      </c>
      <c r="M9" s="50" t="s">
        <v>78</v>
      </c>
      <c r="N9" s="50"/>
      <c r="O9" s="50" t="s">
        <v>52</v>
      </c>
      <c r="P9" s="158" t="s">
        <v>94</v>
      </c>
    </row>
    <row r="10" spans="1:18" ht="31.5" x14ac:dyDescent="0.25">
      <c r="A10" s="50">
        <f>+A9+1</f>
        <v>2</v>
      </c>
      <c r="B10" s="58" t="s">
        <v>20</v>
      </c>
      <c r="C10" s="59">
        <v>2026</v>
      </c>
      <c r="D10" s="49">
        <v>674</v>
      </c>
      <c r="E10" s="60">
        <v>476</v>
      </c>
      <c r="F10" s="61"/>
      <c r="G10" s="61"/>
      <c r="H10" s="61">
        <v>476</v>
      </c>
      <c r="I10" s="89">
        <v>476</v>
      </c>
      <c r="J10" s="61"/>
      <c r="K10" s="62">
        <f t="shared" si="1"/>
        <v>1</v>
      </c>
      <c r="L10" s="62">
        <f>+G10/D10</f>
        <v>0</v>
      </c>
      <c r="M10" s="50" t="s">
        <v>78</v>
      </c>
      <c r="N10" s="50"/>
      <c r="O10" s="50" t="s">
        <v>52</v>
      </c>
      <c r="P10" s="159"/>
    </row>
    <row r="11" spans="1:18" ht="31.5" x14ac:dyDescent="0.25">
      <c r="A11" s="50">
        <f t="shared" ref="A11:A16" si="2">+A10+1</f>
        <v>3</v>
      </c>
      <c r="B11" s="58" t="s">
        <v>21</v>
      </c>
      <c r="C11" s="59">
        <v>2026</v>
      </c>
      <c r="D11" s="49">
        <v>919</v>
      </c>
      <c r="E11" s="60">
        <v>644</v>
      </c>
      <c r="F11" s="61"/>
      <c r="G11" s="61"/>
      <c r="H11" s="61">
        <v>644</v>
      </c>
      <c r="I11" s="89">
        <v>644</v>
      </c>
      <c r="J11" s="61"/>
      <c r="K11" s="62">
        <f t="shared" si="1"/>
        <v>1</v>
      </c>
      <c r="L11" s="62">
        <f t="shared" ref="L11:L23" si="3">+G11/D11</f>
        <v>0</v>
      </c>
      <c r="M11" s="50" t="s">
        <v>78</v>
      </c>
      <c r="N11" s="50"/>
      <c r="O11" s="50" t="s">
        <v>52</v>
      </c>
      <c r="P11" s="159"/>
    </row>
    <row r="12" spans="1:18" ht="31.5" x14ac:dyDescent="0.25">
      <c r="A12" s="50">
        <f t="shared" si="2"/>
        <v>4</v>
      </c>
      <c r="B12" s="58" t="s">
        <v>22</v>
      </c>
      <c r="C12" s="59">
        <v>2026</v>
      </c>
      <c r="D12" s="49">
        <v>300</v>
      </c>
      <c r="E12" s="60">
        <v>300</v>
      </c>
      <c r="F12" s="61"/>
      <c r="G12" s="61"/>
      <c r="H12" s="61">
        <v>260</v>
      </c>
      <c r="I12" s="89">
        <v>260</v>
      </c>
      <c r="J12" s="61"/>
      <c r="K12" s="62">
        <f t="shared" si="1"/>
        <v>0.8666666666666667</v>
      </c>
      <c r="L12" s="50" t="s">
        <v>40</v>
      </c>
      <c r="M12" s="50" t="s">
        <v>78</v>
      </c>
      <c r="N12" s="50"/>
      <c r="O12" s="50" t="s">
        <v>52</v>
      </c>
      <c r="P12" s="159"/>
    </row>
    <row r="13" spans="1:18" ht="31.5" x14ac:dyDescent="0.25">
      <c r="A13" s="50">
        <f t="shared" si="2"/>
        <v>5</v>
      </c>
      <c r="B13" s="58" t="s">
        <v>23</v>
      </c>
      <c r="C13" s="59">
        <v>2026</v>
      </c>
      <c r="D13" s="49">
        <v>684</v>
      </c>
      <c r="E13" s="60">
        <v>479</v>
      </c>
      <c r="F13" s="61"/>
      <c r="G13" s="61"/>
      <c r="H13" s="61">
        <v>479</v>
      </c>
      <c r="I13" s="89">
        <v>479</v>
      </c>
      <c r="J13" s="61"/>
      <c r="K13" s="62">
        <f t="shared" si="1"/>
        <v>1</v>
      </c>
      <c r="L13" s="62">
        <f t="shared" si="3"/>
        <v>0</v>
      </c>
      <c r="M13" s="50" t="s">
        <v>78</v>
      </c>
      <c r="N13" s="50"/>
      <c r="O13" s="50" t="s">
        <v>52</v>
      </c>
      <c r="P13" s="159"/>
    </row>
    <row r="14" spans="1:18" ht="31.5" x14ac:dyDescent="0.25">
      <c r="A14" s="50">
        <f t="shared" si="2"/>
        <v>6</v>
      </c>
      <c r="B14" s="58" t="s">
        <v>24</v>
      </c>
      <c r="C14" s="59">
        <v>2026</v>
      </c>
      <c r="D14" s="49">
        <v>1613</v>
      </c>
      <c r="E14" s="60">
        <v>1129</v>
      </c>
      <c r="F14" s="61"/>
      <c r="G14" s="61"/>
      <c r="H14" s="61">
        <v>1000</v>
      </c>
      <c r="I14" s="89">
        <v>1000</v>
      </c>
      <c r="J14" s="61"/>
      <c r="K14" s="62">
        <f t="shared" si="1"/>
        <v>0.8857395925597874</v>
      </c>
      <c r="L14" s="62">
        <f t="shared" si="3"/>
        <v>0</v>
      </c>
      <c r="M14" s="50" t="s">
        <v>78</v>
      </c>
      <c r="N14" s="50"/>
      <c r="O14" s="50" t="s">
        <v>52</v>
      </c>
      <c r="P14" s="159"/>
    </row>
    <row r="15" spans="1:18" ht="31.5" x14ac:dyDescent="0.25">
      <c r="A15" s="50">
        <f t="shared" si="2"/>
        <v>7</v>
      </c>
      <c r="B15" s="58" t="s">
        <v>25</v>
      </c>
      <c r="C15" s="59">
        <v>2026</v>
      </c>
      <c r="D15" s="49">
        <v>91</v>
      </c>
      <c r="E15" s="60">
        <v>91</v>
      </c>
      <c r="F15" s="61"/>
      <c r="G15" s="61"/>
      <c r="H15" s="61">
        <v>70</v>
      </c>
      <c r="I15" s="89">
        <v>70</v>
      </c>
      <c r="J15" s="61"/>
      <c r="K15" s="62">
        <f t="shared" si="1"/>
        <v>0.76923076923076927</v>
      </c>
      <c r="L15" s="50" t="s">
        <v>40</v>
      </c>
      <c r="M15" s="50" t="s">
        <v>78</v>
      </c>
      <c r="N15" s="50"/>
      <c r="O15" s="50" t="s">
        <v>52</v>
      </c>
      <c r="P15" s="159"/>
    </row>
    <row r="16" spans="1:18" ht="31.5" x14ac:dyDescent="0.25">
      <c r="A16" s="50">
        <f t="shared" si="2"/>
        <v>8</v>
      </c>
      <c r="B16" s="58" t="s">
        <v>26</v>
      </c>
      <c r="C16" s="59" t="s">
        <v>60</v>
      </c>
      <c r="D16" s="49">
        <v>2623</v>
      </c>
      <c r="E16" s="60">
        <v>2595</v>
      </c>
      <c r="F16" s="61"/>
      <c r="G16" s="61"/>
      <c r="H16" s="61">
        <v>1000</v>
      </c>
      <c r="I16" s="89">
        <v>1000</v>
      </c>
      <c r="J16" s="61"/>
      <c r="K16" s="62">
        <f t="shared" si="1"/>
        <v>0.38535645472061658</v>
      </c>
      <c r="L16" s="62">
        <f t="shared" si="3"/>
        <v>0</v>
      </c>
      <c r="M16" s="50" t="s">
        <v>78</v>
      </c>
      <c r="N16" s="50"/>
      <c r="O16" s="50" t="s">
        <v>52</v>
      </c>
      <c r="P16" s="160"/>
    </row>
    <row r="17" spans="1:17" s="34" customFormat="1" ht="31.5" x14ac:dyDescent="0.25">
      <c r="A17" s="46" t="s">
        <v>32</v>
      </c>
      <c r="B17" s="76" t="s">
        <v>37</v>
      </c>
      <c r="C17" s="59"/>
      <c r="D17" s="47">
        <f>SUM(D18:D23)</f>
        <v>4920</v>
      </c>
      <c r="E17" s="68">
        <f>SUM(E18:E24)</f>
        <v>4670</v>
      </c>
      <c r="F17" s="68">
        <f t="shared" ref="F17:H17" si="4">SUM(F18:F24)</f>
        <v>0</v>
      </c>
      <c r="G17" s="68"/>
      <c r="H17" s="68">
        <f t="shared" si="4"/>
        <v>2772.9</v>
      </c>
      <c r="I17" s="92">
        <f t="shared" ref="I17:I48" si="5">+F17+H17</f>
        <v>2772.9</v>
      </c>
      <c r="J17" s="68"/>
      <c r="K17" s="56">
        <f t="shared" si="1"/>
        <v>0.59376873661670238</v>
      </c>
      <c r="L17" s="62"/>
      <c r="M17" s="62"/>
      <c r="N17" s="46"/>
      <c r="O17" s="46"/>
      <c r="P17" s="46"/>
    </row>
    <row r="18" spans="1:17" ht="31.5" x14ac:dyDescent="0.25">
      <c r="A18" s="57">
        <f>+A16+1</f>
        <v>9</v>
      </c>
      <c r="B18" s="69" t="s">
        <v>51</v>
      </c>
      <c r="C18" s="59">
        <v>2026</v>
      </c>
      <c r="D18" s="49">
        <v>700</v>
      </c>
      <c r="E18" s="60">
        <v>350</v>
      </c>
      <c r="F18" s="61"/>
      <c r="G18" s="61"/>
      <c r="H18" s="61">
        <v>350</v>
      </c>
      <c r="I18" s="89">
        <v>350</v>
      </c>
      <c r="J18" s="61"/>
      <c r="K18" s="62">
        <f t="shared" si="1"/>
        <v>1</v>
      </c>
      <c r="L18" s="62">
        <f t="shared" si="3"/>
        <v>0</v>
      </c>
      <c r="M18" s="50" t="s">
        <v>78</v>
      </c>
      <c r="N18" s="50"/>
      <c r="O18" s="50" t="s">
        <v>52</v>
      </c>
      <c r="P18" s="158" t="s">
        <v>94</v>
      </c>
    </row>
    <row r="19" spans="1:17" ht="31.5" x14ac:dyDescent="0.25">
      <c r="A19" s="50">
        <f>+A18+1</f>
        <v>10</v>
      </c>
      <c r="B19" s="69" t="s">
        <v>27</v>
      </c>
      <c r="C19" s="59">
        <v>2026</v>
      </c>
      <c r="D19" s="74">
        <v>2000</v>
      </c>
      <c r="E19" s="60">
        <v>1500</v>
      </c>
      <c r="F19" s="61"/>
      <c r="G19" s="61"/>
      <c r="H19" s="61">
        <v>1000</v>
      </c>
      <c r="I19" s="89">
        <v>1000</v>
      </c>
      <c r="J19" s="61"/>
      <c r="K19" s="62">
        <f t="shared" si="1"/>
        <v>0.66666666666666663</v>
      </c>
      <c r="L19" s="62">
        <f t="shared" si="3"/>
        <v>0</v>
      </c>
      <c r="M19" s="50" t="s">
        <v>78</v>
      </c>
      <c r="N19" s="50"/>
      <c r="O19" s="50" t="s">
        <v>52</v>
      </c>
      <c r="P19" s="159"/>
    </row>
    <row r="20" spans="1:17" x14ac:dyDescent="0.25">
      <c r="A20" s="50">
        <f t="shared" ref="A20:A23" si="6">+A19+1</f>
        <v>11</v>
      </c>
      <c r="B20" s="69" t="s">
        <v>28</v>
      </c>
      <c r="C20" s="59">
        <v>2026</v>
      </c>
      <c r="D20" s="74">
        <v>420</v>
      </c>
      <c r="E20" s="60">
        <v>210</v>
      </c>
      <c r="F20" s="61"/>
      <c r="G20" s="61"/>
      <c r="H20" s="61">
        <v>210</v>
      </c>
      <c r="I20" s="89">
        <v>210</v>
      </c>
      <c r="J20" s="61"/>
      <c r="K20" s="62">
        <f t="shared" si="1"/>
        <v>1</v>
      </c>
      <c r="L20" s="62">
        <f t="shared" si="3"/>
        <v>0</v>
      </c>
      <c r="M20" s="50" t="s">
        <v>78</v>
      </c>
      <c r="N20" s="50"/>
      <c r="O20" s="50"/>
      <c r="P20" s="160"/>
    </row>
    <row r="21" spans="1:17" s="36" customFormat="1" x14ac:dyDescent="0.25">
      <c r="A21" s="79"/>
      <c r="B21" s="138" t="s">
        <v>17</v>
      </c>
      <c r="C21" s="81"/>
      <c r="D21" s="89"/>
      <c r="E21" s="83">
        <v>860</v>
      </c>
      <c r="F21" s="84"/>
      <c r="G21" s="84"/>
      <c r="H21" s="84">
        <f>+G21</f>
        <v>0</v>
      </c>
      <c r="I21" s="89">
        <f t="shared" si="5"/>
        <v>0</v>
      </c>
      <c r="J21" s="84"/>
      <c r="K21" s="85"/>
      <c r="L21" s="85"/>
      <c r="M21" s="85"/>
      <c r="N21" s="79"/>
      <c r="O21" s="79"/>
      <c r="P21" s="79"/>
    </row>
    <row r="22" spans="1:17" ht="63" x14ac:dyDescent="0.25">
      <c r="A22" s="50">
        <f>+A20+1</f>
        <v>12</v>
      </c>
      <c r="B22" s="69" t="s">
        <v>13</v>
      </c>
      <c r="C22" s="59">
        <v>2026</v>
      </c>
      <c r="D22" s="74">
        <v>800</v>
      </c>
      <c r="E22" s="60">
        <v>600</v>
      </c>
      <c r="F22" s="61"/>
      <c r="G22" s="61"/>
      <c r="H22" s="61">
        <v>534</v>
      </c>
      <c r="I22" s="89">
        <v>533.70000000000005</v>
      </c>
      <c r="J22" s="61"/>
      <c r="K22" s="62">
        <f t="shared" si="1"/>
        <v>0.88950000000000007</v>
      </c>
      <c r="L22" s="62">
        <f t="shared" si="3"/>
        <v>0</v>
      </c>
      <c r="M22" s="50" t="s">
        <v>78</v>
      </c>
      <c r="N22" s="50"/>
      <c r="O22" s="50" t="s">
        <v>52</v>
      </c>
      <c r="P22" s="50" t="s">
        <v>95</v>
      </c>
    </row>
    <row r="23" spans="1:17" ht="31.5" x14ac:dyDescent="0.25">
      <c r="A23" s="50">
        <f t="shared" si="6"/>
        <v>13</v>
      </c>
      <c r="B23" s="69" t="s">
        <v>14</v>
      </c>
      <c r="C23" s="59">
        <v>2026</v>
      </c>
      <c r="D23" s="74">
        <v>1000</v>
      </c>
      <c r="E23" s="60">
        <v>750</v>
      </c>
      <c r="F23" s="61"/>
      <c r="G23" s="61"/>
      <c r="H23" s="61">
        <v>678.9</v>
      </c>
      <c r="I23" s="89">
        <f t="shared" si="5"/>
        <v>678.9</v>
      </c>
      <c r="J23" s="61"/>
      <c r="K23" s="62">
        <f t="shared" si="1"/>
        <v>0.9052</v>
      </c>
      <c r="L23" s="62">
        <f t="shared" si="3"/>
        <v>0</v>
      </c>
      <c r="M23" s="62" t="s">
        <v>79</v>
      </c>
      <c r="N23" s="50"/>
      <c r="O23" s="50" t="s">
        <v>52</v>
      </c>
      <c r="P23" s="78" t="s">
        <v>96</v>
      </c>
    </row>
    <row r="24" spans="1:17" s="36" customFormat="1" ht="31.5" x14ac:dyDescent="0.25">
      <c r="A24" s="79"/>
      <c r="B24" s="138" t="s">
        <v>16</v>
      </c>
      <c r="C24" s="81"/>
      <c r="D24" s="89"/>
      <c r="E24" s="83">
        <v>400</v>
      </c>
      <c r="F24" s="84"/>
      <c r="G24" s="84"/>
      <c r="H24" s="84"/>
      <c r="I24" s="89">
        <f t="shared" si="5"/>
        <v>0</v>
      </c>
      <c r="J24" s="84"/>
      <c r="K24" s="85">
        <f t="shared" si="1"/>
        <v>0</v>
      </c>
      <c r="L24" s="85"/>
      <c r="M24" s="85"/>
      <c r="N24" s="79"/>
      <c r="O24" s="79"/>
      <c r="P24" s="79" t="s">
        <v>97</v>
      </c>
    </row>
    <row r="25" spans="1:17" s="34" customFormat="1" ht="31.5" x14ac:dyDescent="0.25">
      <c r="A25" s="72" t="s">
        <v>34</v>
      </c>
      <c r="B25" s="53" t="s">
        <v>33</v>
      </c>
      <c r="C25" s="59"/>
      <c r="D25" s="51">
        <f>SUM(D26:D30)</f>
        <v>28755.915659999999</v>
      </c>
      <c r="E25" s="68">
        <f>SUM(E27:E30)</f>
        <v>10000</v>
      </c>
      <c r="F25" s="68">
        <f>SUM(F26:F30)</f>
        <v>1000</v>
      </c>
      <c r="G25" s="68"/>
      <c r="H25" s="68">
        <f>SUM(H26:H30)</f>
        <v>1819.789</v>
      </c>
      <c r="I25" s="93">
        <f>SUM(I26:I30)</f>
        <v>2175.165</v>
      </c>
      <c r="J25" s="68"/>
      <c r="K25" s="56">
        <f t="shared" si="1"/>
        <v>0.2175165</v>
      </c>
      <c r="L25" s="62"/>
      <c r="M25" s="62"/>
      <c r="N25" s="46"/>
      <c r="O25" s="46"/>
      <c r="P25" s="46"/>
    </row>
    <row r="26" spans="1:17" ht="31.5" x14ac:dyDescent="0.25">
      <c r="A26" s="50">
        <f>+A23+1</f>
        <v>14</v>
      </c>
      <c r="B26" s="69" t="s">
        <v>48</v>
      </c>
      <c r="C26" s="59" t="s">
        <v>64</v>
      </c>
      <c r="D26" s="74">
        <v>6408.0456599999998</v>
      </c>
      <c r="E26" s="61">
        <f>459+140</f>
        <v>599</v>
      </c>
      <c r="F26" s="61"/>
      <c r="G26" s="61">
        <f>140.44+'[1]B04-DAT'!$O$11</f>
        <v>140.44</v>
      </c>
      <c r="H26" s="61"/>
      <c r="I26" s="89">
        <v>355.37599999999998</v>
      </c>
      <c r="J26" s="61"/>
      <c r="K26" s="50"/>
      <c r="L26" s="69"/>
      <c r="M26" s="50" t="s">
        <v>78</v>
      </c>
      <c r="N26" s="50"/>
      <c r="O26" s="50" t="str">
        <f>O27</f>
        <v>Đã QT</v>
      </c>
      <c r="P26" s="50" t="s">
        <v>99</v>
      </c>
    </row>
    <row r="27" spans="1:17" ht="31.5" x14ac:dyDescent="0.25">
      <c r="A27" s="50">
        <f>+A26+1</f>
        <v>15</v>
      </c>
      <c r="B27" s="69" t="s">
        <v>29</v>
      </c>
      <c r="C27" s="59" t="s">
        <v>61</v>
      </c>
      <c r="D27" s="74">
        <v>3500</v>
      </c>
      <c r="E27" s="74">
        <v>1200</v>
      </c>
      <c r="F27" s="61">
        <v>1000</v>
      </c>
      <c r="G27" s="61"/>
      <c r="H27" s="61">
        <v>1200</v>
      </c>
      <c r="I27" s="89">
        <v>1200</v>
      </c>
      <c r="J27" s="77"/>
      <c r="K27" s="62">
        <f t="shared" si="1"/>
        <v>1</v>
      </c>
      <c r="L27" s="62"/>
      <c r="M27" s="62" t="s">
        <v>80</v>
      </c>
      <c r="N27" s="50"/>
      <c r="O27" s="50" t="s">
        <v>89</v>
      </c>
      <c r="P27" s="50" t="s">
        <v>99</v>
      </c>
    </row>
    <row r="28" spans="1:17" ht="31.5" x14ac:dyDescent="0.25">
      <c r="A28" s="50">
        <f t="shared" ref="A28:A30" si="7">+A27+1</f>
        <v>16</v>
      </c>
      <c r="B28" s="69" t="s">
        <v>30</v>
      </c>
      <c r="C28" s="59" t="s">
        <v>62</v>
      </c>
      <c r="D28" s="74">
        <v>17380</v>
      </c>
      <c r="E28" s="74">
        <v>8000</v>
      </c>
      <c r="F28" s="61"/>
      <c r="G28" s="61"/>
      <c r="H28" s="61"/>
      <c r="I28" s="89"/>
      <c r="J28" s="61"/>
      <c r="K28" s="62">
        <f t="shared" si="1"/>
        <v>0</v>
      </c>
      <c r="L28" s="62"/>
      <c r="M28" s="62" t="s">
        <v>80</v>
      </c>
      <c r="N28" s="50"/>
      <c r="O28" s="50" t="s">
        <v>90</v>
      </c>
      <c r="P28" s="50" t="s">
        <v>98</v>
      </c>
    </row>
    <row r="29" spans="1:17" ht="31.5" x14ac:dyDescent="0.25">
      <c r="A29" s="50">
        <f t="shared" si="7"/>
        <v>17</v>
      </c>
      <c r="B29" s="69" t="s">
        <v>31</v>
      </c>
      <c r="C29" s="59" t="s">
        <v>62</v>
      </c>
      <c r="D29" s="74">
        <v>1150</v>
      </c>
      <c r="E29" s="60">
        <v>500</v>
      </c>
      <c r="F29" s="61"/>
      <c r="G29" s="61"/>
      <c r="H29" s="61">
        <v>389.78899999999999</v>
      </c>
      <c r="I29" s="89">
        <v>389.78899999999999</v>
      </c>
      <c r="J29" s="61"/>
      <c r="K29" s="62">
        <f t="shared" si="1"/>
        <v>0.77957799999999999</v>
      </c>
      <c r="L29" s="62"/>
      <c r="M29" s="62" t="s">
        <v>80</v>
      </c>
      <c r="N29" s="50"/>
      <c r="O29" s="50" t="s">
        <v>90</v>
      </c>
      <c r="P29" s="50"/>
    </row>
    <row r="30" spans="1:17" ht="31.5" x14ac:dyDescent="0.25">
      <c r="A30" s="50">
        <f t="shared" si="7"/>
        <v>18</v>
      </c>
      <c r="B30" s="69" t="s">
        <v>15</v>
      </c>
      <c r="C30" s="59" t="s">
        <v>61</v>
      </c>
      <c r="D30" s="74">
        <v>317.87</v>
      </c>
      <c r="E30" s="60">
        <v>300</v>
      </c>
      <c r="F30" s="61"/>
      <c r="G30" s="61"/>
      <c r="H30" s="61">
        <v>230</v>
      </c>
      <c r="I30" s="89">
        <v>230</v>
      </c>
      <c r="J30" s="61"/>
      <c r="K30" s="62">
        <f t="shared" si="1"/>
        <v>0.76666666666666672</v>
      </c>
      <c r="L30" s="62"/>
      <c r="M30" s="62" t="s">
        <v>80</v>
      </c>
      <c r="N30" s="50"/>
      <c r="O30" s="50" t="s">
        <v>55</v>
      </c>
      <c r="P30" s="50"/>
    </row>
    <row r="31" spans="1:17" ht="38.25" customHeight="1" x14ac:dyDescent="0.25">
      <c r="A31" s="50">
        <f t="shared" ref="A31" si="8">+A30+1</f>
        <v>19</v>
      </c>
      <c r="B31" s="99" t="s">
        <v>87</v>
      </c>
      <c r="C31" s="59" t="s">
        <v>62</v>
      </c>
      <c r="D31" s="74">
        <v>425</v>
      </c>
      <c r="E31" s="60">
        <v>290</v>
      </c>
      <c r="F31" s="61"/>
      <c r="G31" s="61"/>
      <c r="H31" s="61"/>
      <c r="I31" s="89"/>
      <c r="J31" s="61"/>
      <c r="K31" s="62">
        <f t="shared" ref="K31" si="9">I31/E31</f>
        <v>0</v>
      </c>
      <c r="L31" s="62"/>
      <c r="M31" s="50" t="s">
        <v>78</v>
      </c>
      <c r="N31" s="50"/>
      <c r="O31" s="50" t="s">
        <v>90</v>
      </c>
      <c r="P31" s="50" t="s">
        <v>100</v>
      </c>
    </row>
    <row r="32" spans="1:17" s="147" customFormat="1" x14ac:dyDescent="0.25">
      <c r="A32" s="142" t="s">
        <v>34</v>
      </c>
      <c r="B32" s="143" t="s">
        <v>42</v>
      </c>
      <c r="C32" s="81"/>
      <c r="D32" s="92">
        <f>SUM(D33:D42)</f>
        <v>30070.178</v>
      </c>
      <c r="E32" s="92">
        <f>SUM(E33:E42)</f>
        <v>5357</v>
      </c>
      <c r="F32" s="92">
        <f>SUM(F33:F42)</f>
        <v>0</v>
      </c>
      <c r="G32" s="92"/>
      <c r="H32" s="92">
        <f>SUM(H33:H42)</f>
        <v>3412.915</v>
      </c>
      <c r="I32" s="92">
        <f>SUM(I33:I42)</f>
        <v>3594.915</v>
      </c>
      <c r="J32" s="92"/>
      <c r="K32" s="144">
        <f t="shared" si="1"/>
        <v>0.6710686951652044</v>
      </c>
      <c r="L32" s="85"/>
      <c r="M32" s="85"/>
      <c r="N32" s="145"/>
      <c r="O32" s="145"/>
      <c r="P32" s="145"/>
      <c r="Q32" s="146">
        <f>+E32+E43+E48</f>
        <v>6174</v>
      </c>
    </row>
    <row r="33" spans="1:18" s="147" customFormat="1" x14ac:dyDescent="0.25">
      <c r="A33" s="148">
        <f>+A31+1</f>
        <v>20</v>
      </c>
      <c r="B33" s="139" t="s">
        <v>81</v>
      </c>
      <c r="C33" s="81" t="s">
        <v>62</v>
      </c>
      <c r="D33" s="89">
        <v>2632</v>
      </c>
      <c r="E33" s="89">
        <v>276</v>
      </c>
      <c r="F33" s="93"/>
      <c r="G33" s="83"/>
      <c r="H33" s="83"/>
      <c r="I33" s="89"/>
      <c r="J33" s="84"/>
      <c r="K33" s="144"/>
      <c r="L33" s="85"/>
      <c r="M33" s="85"/>
      <c r="N33" s="145"/>
      <c r="O33" s="145" t="s">
        <v>55</v>
      </c>
      <c r="P33" s="145"/>
    </row>
    <row r="34" spans="1:18" s="36" customFormat="1" x14ac:dyDescent="0.25">
      <c r="A34" s="79">
        <f>+A33+1</f>
        <v>21</v>
      </c>
      <c r="B34" s="139" t="s">
        <v>43</v>
      </c>
      <c r="C34" s="81" t="s">
        <v>61</v>
      </c>
      <c r="D34" s="89">
        <v>1296.9269999999999</v>
      </c>
      <c r="E34" s="84">
        <v>59</v>
      </c>
      <c r="F34" s="84"/>
      <c r="G34" s="84"/>
      <c r="H34" s="84"/>
      <c r="I34" s="89"/>
      <c r="J34" s="84"/>
      <c r="K34" s="79"/>
      <c r="L34" s="138"/>
      <c r="M34" s="138"/>
      <c r="N34" s="79"/>
      <c r="O34" s="79" t="str">
        <f>O35</f>
        <v>Đã QT</v>
      </c>
      <c r="P34" s="79"/>
    </row>
    <row r="35" spans="1:18" s="36" customFormat="1" ht="47.25" x14ac:dyDescent="0.25">
      <c r="A35" s="79">
        <f>+A34+1</f>
        <v>22</v>
      </c>
      <c r="B35" s="139" t="s">
        <v>44</v>
      </c>
      <c r="C35" s="81" t="s">
        <v>61</v>
      </c>
      <c r="D35" s="89">
        <v>1663.712</v>
      </c>
      <c r="E35" s="84">
        <v>786</v>
      </c>
      <c r="F35" s="84"/>
      <c r="G35" s="84"/>
      <c r="H35" s="84"/>
      <c r="I35" s="89"/>
      <c r="J35" s="84"/>
      <c r="K35" s="79"/>
      <c r="L35" s="138"/>
      <c r="M35" s="138"/>
      <c r="N35" s="79"/>
      <c r="O35" s="79" t="str">
        <f>O37</f>
        <v>Đã QT</v>
      </c>
      <c r="P35" s="79" t="s">
        <v>101</v>
      </c>
    </row>
    <row r="36" spans="1:18" s="36" customFormat="1" x14ac:dyDescent="0.25">
      <c r="A36" s="79">
        <f t="shared" ref="A36:A42" si="10">+A35+1</f>
        <v>23</v>
      </c>
      <c r="B36" s="139" t="s">
        <v>45</v>
      </c>
      <c r="C36" s="81" t="s">
        <v>63</v>
      </c>
      <c r="D36" s="89">
        <v>2623.3719999999998</v>
      </c>
      <c r="E36" s="84"/>
      <c r="F36" s="84"/>
      <c r="G36" s="84"/>
      <c r="H36" s="84"/>
      <c r="I36" s="89"/>
      <c r="J36" s="84"/>
      <c r="K36" s="79"/>
      <c r="L36" s="138"/>
      <c r="M36" s="138"/>
      <c r="N36" s="79"/>
      <c r="O36" s="79" t="s">
        <v>55</v>
      </c>
      <c r="P36" s="79"/>
    </row>
    <row r="37" spans="1:18" s="36" customFormat="1" ht="31.5" x14ac:dyDescent="0.25">
      <c r="A37" s="79">
        <f t="shared" si="10"/>
        <v>24</v>
      </c>
      <c r="B37" s="138" t="s">
        <v>46</v>
      </c>
      <c r="C37" s="81" t="s">
        <v>61</v>
      </c>
      <c r="D37" s="89">
        <v>1964.5980000000002</v>
      </c>
      <c r="E37" s="84">
        <v>86</v>
      </c>
      <c r="F37" s="84"/>
      <c r="G37" s="149"/>
      <c r="H37" s="84">
        <v>68</v>
      </c>
      <c r="I37" s="89">
        <v>68</v>
      </c>
      <c r="J37" s="84"/>
      <c r="K37" s="79"/>
      <c r="L37" s="138"/>
      <c r="M37" s="138"/>
      <c r="N37" s="79"/>
      <c r="O37" s="79" t="s">
        <v>89</v>
      </c>
      <c r="P37" s="79" t="s">
        <v>102</v>
      </c>
    </row>
    <row r="38" spans="1:18" s="36" customFormat="1" x14ac:dyDescent="0.25">
      <c r="A38" s="79">
        <f t="shared" si="10"/>
        <v>25</v>
      </c>
      <c r="B38" s="138" t="s">
        <v>47</v>
      </c>
      <c r="C38" s="81" t="s">
        <v>61</v>
      </c>
      <c r="D38" s="89">
        <v>2102.009</v>
      </c>
      <c r="E38" s="84">
        <v>9</v>
      </c>
      <c r="F38" s="84"/>
      <c r="G38" s="84"/>
      <c r="H38" s="84">
        <v>9</v>
      </c>
      <c r="I38" s="89">
        <v>9</v>
      </c>
      <c r="J38" s="84"/>
      <c r="K38" s="79"/>
      <c r="L38" s="138"/>
      <c r="M38" s="138"/>
      <c r="N38" s="79"/>
      <c r="O38" s="79" t="s">
        <v>89</v>
      </c>
      <c r="P38" s="79"/>
    </row>
    <row r="39" spans="1:18" s="36" customFormat="1" x14ac:dyDescent="0.25">
      <c r="A39" s="79">
        <f t="shared" si="10"/>
        <v>26</v>
      </c>
      <c r="B39" s="138" t="s">
        <v>49</v>
      </c>
      <c r="C39" s="81" t="str">
        <f>+C38</f>
        <v>2024-2025</v>
      </c>
      <c r="D39" s="89">
        <v>3342.56</v>
      </c>
      <c r="E39" s="84">
        <v>182</v>
      </c>
      <c r="F39" s="84"/>
      <c r="G39" s="84"/>
      <c r="H39" s="84">
        <f>+G39</f>
        <v>0</v>
      </c>
      <c r="I39" s="89">
        <v>182</v>
      </c>
      <c r="J39" s="84"/>
      <c r="K39" s="79"/>
      <c r="L39" s="138"/>
      <c r="M39" s="138"/>
      <c r="N39" s="79"/>
      <c r="O39" s="79" t="str">
        <f>O38</f>
        <v>Đã QT</v>
      </c>
      <c r="P39" s="79"/>
    </row>
    <row r="40" spans="1:18" s="36" customFormat="1" ht="31.5" x14ac:dyDescent="0.25">
      <c r="A40" s="79">
        <f t="shared" si="10"/>
        <v>27</v>
      </c>
      <c r="B40" s="138" t="s">
        <v>72</v>
      </c>
      <c r="C40" s="81" t="s">
        <v>76</v>
      </c>
      <c r="D40" s="89">
        <v>6800</v>
      </c>
      <c r="E40" s="84">
        <v>1656</v>
      </c>
      <c r="F40" s="84"/>
      <c r="G40" s="84"/>
      <c r="H40" s="84">
        <f>291.5259+33.497+1020.509</f>
        <v>1345.5319</v>
      </c>
      <c r="I40" s="89">
        <v>1345.5319</v>
      </c>
      <c r="J40" s="84"/>
      <c r="K40" s="79"/>
      <c r="L40" s="138"/>
      <c r="M40" s="85" t="s">
        <v>80</v>
      </c>
      <c r="N40" s="79" t="s">
        <v>85</v>
      </c>
      <c r="O40" s="79" t="s">
        <v>89</v>
      </c>
      <c r="P40" s="79" t="s">
        <v>102</v>
      </c>
    </row>
    <row r="41" spans="1:18" s="36" customFormat="1" ht="31.5" x14ac:dyDescent="0.25">
      <c r="A41" s="79">
        <f t="shared" si="10"/>
        <v>28</v>
      </c>
      <c r="B41" s="138" t="s">
        <v>74</v>
      </c>
      <c r="C41" s="81" t="s">
        <v>63</v>
      </c>
      <c r="D41" s="89">
        <v>4645</v>
      </c>
      <c r="E41" s="84">
        <v>507</v>
      </c>
      <c r="F41" s="84"/>
      <c r="G41" s="84"/>
      <c r="H41" s="84">
        <f>93.232405+193.663595+51.923</f>
        <v>338.81899999999996</v>
      </c>
      <c r="I41" s="89">
        <v>338.81900000000002</v>
      </c>
      <c r="J41" s="84"/>
      <c r="K41" s="79"/>
      <c r="L41" s="138"/>
      <c r="M41" s="85" t="s">
        <v>80</v>
      </c>
      <c r="N41" s="79"/>
      <c r="O41" s="79" t="s">
        <v>89</v>
      </c>
      <c r="P41" s="79"/>
    </row>
    <row r="42" spans="1:18" s="36" customFormat="1" ht="31.5" x14ac:dyDescent="0.25">
      <c r="A42" s="79">
        <f t="shared" si="10"/>
        <v>29</v>
      </c>
      <c r="B42" s="138" t="s">
        <v>75</v>
      </c>
      <c r="C42" s="81" t="s">
        <v>62</v>
      </c>
      <c r="D42" s="89">
        <v>3000</v>
      </c>
      <c r="E42" s="84">
        <v>1796</v>
      </c>
      <c r="F42" s="84"/>
      <c r="G42" s="84"/>
      <c r="H42" s="84">
        <f>1396.5462+120.0179+135</f>
        <v>1651.5641000000001</v>
      </c>
      <c r="I42" s="89">
        <v>1651.5641000000001</v>
      </c>
      <c r="J42" s="84"/>
      <c r="K42" s="79"/>
      <c r="L42" s="138"/>
      <c r="M42" s="85" t="s">
        <v>80</v>
      </c>
      <c r="N42" s="79"/>
      <c r="O42" s="79" t="s">
        <v>90</v>
      </c>
      <c r="P42" s="79"/>
    </row>
    <row r="43" spans="1:18" s="34" customFormat="1" x14ac:dyDescent="0.25">
      <c r="A43" s="46" t="s">
        <v>56</v>
      </c>
      <c r="B43" s="53" t="s">
        <v>70</v>
      </c>
      <c r="C43" s="59"/>
      <c r="D43" s="68">
        <f>SUM(D45:D47)</f>
        <v>1451.85</v>
      </c>
      <c r="E43" s="53">
        <f>SUM(E45:E47)</f>
        <v>409</v>
      </c>
      <c r="F43" s="53">
        <f t="shared" ref="F43:J43" si="11">SUM(F45:F47)</f>
        <v>0</v>
      </c>
      <c r="G43" s="53"/>
      <c r="H43" s="53">
        <f t="shared" si="11"/>
        <v>226.77547000000001</v>
      </c>
      <c r="I43" s="97">
        <f t="shared" si="11"/>
        <v>226.77547000000001</v>
      </c>
      <c r="J43" s="53">
        <f t="shared" si="11"/>
        <v>0</v>
      </c>
      <c r="K43" s="46"/>
      <c r="L43" s="53"/>
      <c r="M43" s="53"/>
      <c r="N43" s="46"/>
      <c r="O43" s="46"/>
      <c r="P43" s="46"/>
    </row>
    <row r="44" spans="1:18" s="36" customFormat="1" ht="31.5" x14ac:dyDescent="0.25">
      <c r="A44" s="79">
        <v>30</v>
      </c>
      <c r="B44" s="138" t="s">
        <v>73</v>
      </c>
      <c r="C44" s="81" t="s">
        <v>61</v>
      </c>
      <c r="D44" s="89">
        <v>5000</v>
      </c>
      <c r="E44" s="84">
        <v>985</v>
      </c>
      <c r="F44" s="84"/>
      <c r="G44" s="84"/>
      <c r="H44" s="84">
        <f>681+303.565</f>
        <v>984.56500000000005</v>
      </c>
      <c r="I44" s="89">
        <v>984.56500000000005</v>
      </c>
      <c r="J44" s="84"/>
      <c r="K44" s="79"/>
      <c r="L44" s="138"/>
      <c r="M44" s="85" t="s">
        <v>80</v>
      </c>
      <c r="N44" s="79" t="s">
        <v>86</v>
      </c>
      <c r="O44" s="79"/>
      <c r="P44" s="79"/>
    </row>
    <row r="45" spans="1:18" s="34" customFormat="1" ht="47.25" x14ac:dyDescent="0.25">
      <c r="A45" s="50">
        <v>31</v>
      </c>
      <c r="B45" s="69" t="s">
        <v>71</v>
      </c>
      <c r="C45" s="59" t="s">
        <v>62</v>
      </c>
      <c r="D45" s="69">
        <v>900</v>
      </c>
      <c r="E45" s="61">
        <v>109</v>
      </c>
      <c r="F45" s="140"/>
      <c r="G45" s="61"/>
      <c r="H45" s="61">
        <f>31.0897+38.41783+3.057299+3.280641+5.13</f>
        <v>80.975470000000001</v>
      </c>
      <c r="I45" s="89">
        <v>80.975470000000001</v>
      </c>
      <c r="J45" s="61"/>
      <c r="K45" s="46"/>
      <c r="L45" s="53"/>
      <c r="M45" s="62" t="s">
        <v>80</v>
      </c>
      <c r="N45" s="46"/>
      <c r="O45" s="46" t="s">
        <v>89</v>
      </c>
      <c r="P45" s="46"/>
      <c r="Q45" s="34">
        <v>77.69</v>
      </c>
      <c r="R45" s="141">
        <f>+Q45-I45</f>
        <v>-3.2854700000000037</v>
      </c>
    </row>
    <row r="46" spans="1:18" ht="31.5" x14ac:dyDescent="0.25">
      <c r="A46" s="50">
        <f>+A45+1</f>
        <v>32</v>
      </c>
      <c r="B46" s="69" t="s">
        <v>50</v>
      </c>
      <c r="C46" s="59" t="s">
        <v>62</v>
      </c>
      <c r="D46" s="69">
        <v>251.85</v>
      </c>
      <c r="E46" s="61"/>
      <c r="F46" s="61"/>
      <c r="G46" s="61"/>
      <c r="H46" s="61"/>
      <c r="I46" s="89"/>
      <c r="J46" s="61"/>
      <c r="K46" s="50"/>
      <c r="L46" s="69"/>
      <c r="M46" s="62" t="s">
        <v>80</v>
      </c>
      <c r="N46" s="50"/>
      <c r="O46" s="50" t="s">
        <v>89</v>
      </c>
      <c r="P46" s="50" t="s">
        <v>103</v>
      </c>
    </row>
    <row r="47" spans="1:18" ht="47.25" x14ac:dyDescent="0.25">
      <c r="A47" s="50">
        <f>+A46+1</f>
        <v>33</v>
      </c>
      <c r="B47" s="69" t="s">
        <v>58</v>
      </c>
      <c r="C47" s="59">
        <v>2026</v>
      </c>
      <c r="D47" s="69">
        <v>300</v>
      </c>
      <c r="E47" s="61">
        <v>300</v>
      </c>
      <c r="F47" s="61"/>
      <c r="G47" s="61"/>
      <c r="H47" s="61">
        <f>+I47</f>
        <v>145.80000000000001</v>
      </c>
      <c r="I47" s="89">
        <v>145.80000000000001</v>
      </c>
      <c r="J47" s="61"/>
      <c r="K47" s="50"/>
      <c r="L47" s="69"/>
      <c r="M47" s="50" t="s">
        <v>78</v>
      </c>
      <c r="N47" s="50"/>
      <c r="O47" s="50" t="s">
        <v>52</v>
      </c>
      <c r="P47" s="50"/>
    </row>
    <row r="48" spans="1:18" s="34" customFormat="1" ht="17.25" customHeight="1" x14ac:dyDescent="0.25">
      <c r="A48" s="46" t="s">
        <v>65</v>
      </c>
      <c r="B48" s="53" t="s">
        <v>66</v>
      </c>
      <c r="C48" s="59"/>
      <c r="D48" s="68">
        <f>SUM(D49:D51)</f>
        <v>5845</v>
      </c>
      <c r="E48" s="53">
        <f>SUM(E49:E51)</f>
        <v>408</v>
      </c>
      <c r="F48" s="53">
        <f t="shared" ref="F48:H48" si="12">SUM(F49:F51)</f>
        <v>0</v>
      </c>
      <c r="G48" s="53"/>
      <c r="H48" s="53">
        <f t="shared" si="12"/>
        <v>200</v>
      </c>
      <c r="I48" s="92">
        <f t="shared" si="5"/>
        <v>200</v>
      </c>
      <c r="J48" s="53"/>
      <c r="K48" s="46"/>
      <c r="L48" s="53"/>
      <c r="M48" s="53"/>
      <c r="N48" s="46"/>
      <c r="O48" s="46"/>
      <c r="P48" s="46"/>
    </row>
    <row r="49" spans="1:16" ht="47.25" x14ac:dyDescent="0.25">
      <c r="A49" s="50">
        <f>+A47+1</f>
        <v>34</v>
      </c>
      <c r="B49" s="75" t="s">
        <v>67</v>
      </c>
      <c r="C49" s="59" t="s">
        <v>62</v>
      </c>
      <c r="D49" s="60">
        <v>2145</v>
      </c>
      <c r="E49" s="61">
        <v>208</v>
      </c>
      <c r="F49" s="61"/>
      <c r="G49" s="61"/>
      <c r="H49" s="61"/>
      <c r="I49" s="89"/>
      <c r="J49" s="69"/>
      <c r="K49" s="50"/>
      <c r="L49" s="69"/>
      <c r="M49" s="62" t="s">
        <v>80</v>
      </c>
      <c r="N49" s="50"/>
      <c r="O49" s="50" t="s">
        <v>90</v>
      </c>
      <c r="P49" s="50"/>
    </row>
    <row r="50" spans="1:16" ht="31.5" x14ac:dyDescent="0.25">
      <c r="A50" s="50">
        <f>+A49+1</f>
        <v>35</v>
      </c>
      <c r="B50" s="75" t="s">
        <v>68</v>
      </c>
      <c r="C50" s="59" t="str">
        <f>+C49</f>
        <v>2025-2026</v>
      </c>
      <c r="D50" s="69">
        <v>1700</v>
      </c>
      <c r="E50" s="61"/>
      <c r="F50" s="61"/>
      <c r="G50" s="61"/>
      <c r="H50" s="61"/>
      <c r="I50" s="89"/>
      <c r="J50" s="69"/>
      <c r="K50" s="50"/>
      <c r="L50" s="69"/>
      <c r="M50" s="62" t="s">
        <v>80</v>
      </c>
      <c r="N50" s="50"/>
      <c r="O50" s="50" t="s">
        <v>55</v>
      </c>
      <c r="P50" s="50"/>
    </row>
    <row r="51" spans="1:16" ht="31.5" x14ac:dyDescent="0.25">
      <c r="A51" s="50">
        <f>+A50+1</f>
        <v>36</v>
      </c>
      <c r="B51" s="75" t="s">
        <v>69</v>
      </c>
      <c r="C51" s="59" t="s">
        <v>62</v>
      </c>
      <c r="D51" s="60">
        <v>2000</v>
      </c>
      <c r="E51" s="61">
        <v>200</v>
      </c>
      <c r="F51" s="61"/>
      <c r="G51" s="61"/>
      <c r="H51" s="61">
        <v>200</v>
      </c>
      <c r="I51" s="89">
        <v>200</v>
      </c>
      <c r="J51" s="61"/>
      <c r="K51" s="50"/>
      <c r="L51" s="69"/>
      <c r="M51" s="62" t="s">
        <v>80</v>
      </c>
      <c r="N51" s="50"/>
      <c r="O51" s="50" t="s">
        <v>89</v>
      </c>
      <c r="P51" s="50"/>
    </row>
    <row r="52" spans="1:16" s="34" customFormat="1" ht="17.25" customHeight="1" x14ac:dyDescent="0.25">
      <c r="A52" s="46" t="s">
        <v>82</v>
      </c>
      <c r="B52" s="53" t="s">
        <v>83</v>
      </c>
      <c r="C52" s="59"/>
      <c r="D52" s="68">
        <f>SUM(D53:D55)</f>
        <v>2000</v>
      </c>
      <c r="E52" s="53">
        <f>SUM(E53:E55)</f>
        <v>0</v>
      </c>
      <c r="F52" s="53">
        <f t="shared" ref="F52" si="13">SUM(F53:F55)</f>
        <v>0</v>
      </c>
      <c r="G52" s="53"/>
      <c r="H52" s="53"/>
      <c r="I52" s="89"/>
      <c r="J52" s="53"/>
      <c r="K52" s="46"/>
      <c r="L52" s="53"/>
      <c r="M52" s="53"/>
      <c r="N52" s="46"/>
      <c r="O52" s="46"/>
      <c r="P52" s="46"/>
    </row>
    <row r="53" spans="1:16" x14ac:dyDescent="0.25">
      <c r="A53" s="50">
        <v>37</v>
      </c>
      <c r="B53" s="75" t="s">
        <v>84</v>
      </c>
      <c r="C53" s="59" t="s">
        <v>62</v>
      </c>
      <c r="D53" s="60">
        <v>2000</v>
      </c>
      <c r="E53" s="61"/>
      <c r="F53" s="61"/>
      <c r="G53" s="61"/>
      <c r="H53" s="61"/>
      <c r="I53" s="89"/>
      <c r="J53" s="69"/>
      <c r="K53" s="50"/>
      <c r="L53" s="69"/>
      <c r="M53" s="62" t="s">
        <v>80</v>
      </c>
      <c r="N53" s="50"/>
      <c r="O53" s="50" t="s">
        <v>89</v>
      </c>
      <c r="P53" s="50"/>
    </row>
  </sheetData>
  <autoFilter ref="M1:M53" xr:uid="{0D5C25CE-12D3-4E78-B9AD-F523CAC75D5C}"/>
  <mergeCells count="19">
    <mergeCell ref="A1:P1"/>
    <mergeCell ref="O4:O5"/>
    <mergeCell ref="L4:L5"/>
    <mergeCell ref="N4:N5"/>
    <mergeCell ref="C4:C5"/>
    <mergeCell ref="M4:M5"/>
    <mergeCell ref="J4:J5"/>
    <mergeCell ref="P4:P5"/>
    <mergeCell ref="P9:P16"/>
    <mergeCell ref="P18:P20"/>
    <mergeCell ref="A2:P2"/>
    <mergeCell ref="L3:O3"/>
    <mergeCell ref="A4:A5"/>
    <mergeCell ref="B4:B5"/>
    <mergeCell ref="D4:D5"/>
    <mergeCell ref="E4:E5"/>
    <mergeCell ref="F4:F5"/>
    <mergeCell ref="G4:I4"/>
    <mergeCell ref="K4:K5"/>
  </mergeCells>
  <phoneticPr fontId="3" type="noConversion"/>
  <pageMargins left="0.47244094488188981" right="0.27559055118110237" top="0.47244094488188981" bottom="0.35433070866141736" header="0.31496062992125984" footer="0.31496062992125984"/>
  <pageSetup paperSize="9" scale="67"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4D3DF-D682-407F-92CF-E4266023BDAF}">
  <dimension ref="A1:S38"/>
  <sheetViews>
    <sheetView view="pageBreakPreview" topLeftCell="A4" zoomScale="85" zoomScaleNormal="85" zoomScaleSheetLayoutView="85" zoomScalePageLayoutView="52" workbookViewId="0">
      <selection activeCell="B26" sqref="B26"/>
    </sheetView>
  </sheetViews>
  <sheetFormatPr defaultColWidth="9.140625" defaultRowHeight="16.5" x14ac:dyDescent="0.25"/>
  <cols>
    <col min="1" max="1" width="7.140625" style="29" customWidth="1"/>
    <col min="2" max="2" width="49.7109375" style="28" customWidth="1"/>
    <col min="3" max="3" width="13.140625" style="28" customWidth="1"/>
    <col min="4" max="4" width="11.140625" style="28" customWidth="1"/>
    <col min="5" max="5" width="13.28515625" style="31" customWidth="1"/>
    <col min="6" max="6" width="10.7109375" style="31" customWidth="1"/>
    <col min="7" max="7" width="10.140625" style="31" customWidth="1"/>
    <col min="8" max="8" width="13.140625" style="31" customWidth="1"/>
    <col min="9" max="9" width="17.85546875" style="36" customWidth="1"/>
    <col min="10" max="10" width="10.42578125" style="28" hidden="1" customWidth="1"/>
    <col min="11" max="11" width="10.42578125" style="28" customWidth="1"/>
    <col min="12" max="12" width="10.140625" style="29" customWidth="1"/>
    <col min="13" max="14" width="10.85546875" style="28" customWidth="1"/>
    <col min="15" max="15" width="0" style="29" hidden="1" customWidth="1"/>
    <col min="16" max="16" width="9.140625" style="29"/>
    <col min="17" max="17" width="19.42578125" style="29" customWidth="1"/>
    <col min="18" max="18" width="9.85546875" style="28" bestFit="1" customWidth="1"/>
    <col min="19" max="16384" width="9.140625" style="28"/>
  </cols>
  <sheetData>
    <row r="1" spans="1:19" ht="16.5" customHeight="1" x14ac:dyDescent="0.25">
      <c r="A1" s="153" t="s">
        <v>8</v>
      </c>
      <c r="B1" s="153"/>
      <c r="C1" s="153"/>
      <c r="D1" s="153"/>
      <c r="E1" s="153"/>
      <c r="F1" s="153"/>
      <c r="G1" s="153"/>
      <c r="H1" s="153"/>
      <c r="I1" s="153"/>
      <c r="J1" s="153"/>
      <c r="K1" s="153"/>
      <c r="L1" s="153"/>
      <c r="M1" s="153"/>
      <c r="N1" s="153"/>
      <c r="O1" s="153"/>
      <c r="P1" s="153"/>
      <c r="Q1" s="153"/>
    </row>
    <row r="2" spans="1:19" ht="16.5" customHeight="1" x14ac:dyDescent="0.25">
      <c r="A2" s="153" t="s">
        <v>105</v>
      </c>
      <c r="B2" s="153"/>
      <c r="C2" s="153"/>
      <c r="D2" s="153"/>
      <c r="E2" s="153"/>
      <c r="F2" s="153"/>
      <c r="G2" s="153"/>
      <c r="H2" s="153"/>
      <c r="I2" s="153"/>
      <c r="J2" s="153"/>
      <c r="K2" s="153"/>
      <c r="L2" s="153"/>
      <c r="M2" s="153"/>
      <c r="N2" s="153"/>
      <c r="O2" s="153"/>
      <c r="P2" s="153"/>
      <c r="Q2" s="153"/>
    </row>
    <row r="3" spans="1:19" x14ac:dyDescent="0.25">
      <c r="B3" s="30"/>
      <c r="C3" s="30"/>
      <c r="D3" s="30"/>
      <c r="E3" s="30"/>
      <c r="M3" s="161" t="s">
        <v>11</v>
      </c>
      <c r="N3" s="161"/>
      <c r="O3" s="161"/>
      <c r="P3" s="161"/>
    </row>
    <row r="4" spans="1:19" s="27" customFormat="1" ht="16.5" customHeight="1" x14ac:dyDescent="0.25">
      <c r="A4" s="162" t="s">
        <v>3</v>
      </c>
      <c r="B4" s="162" t="s">
        <v>0</v>
      </c>
      <c r="C4" s="165" t="s">
        <v>59</v>
      </c>
      <c r="D4" s="163" t="s">
        <v>38</v>
      </c>
      <c r="E4" s="163" t="s">
        <v>1</v>
      </c>
      <c r="F4" s="163" t="s">
        <v>57</v>
      </c>
      <c r="G4" s="164" t="s">
        <v>10</v>
      </c>
      <c r="H4" s="164"/>
      <c r="I4" s="164"/>
      <c r="J4" s="163" t="s">
        <v>92</v>
      </c>
      <c r="K4" s="47"/>
      <c r="L4" s="163" t="s">
        <v>41</v>
      </c>
      <c r="M4" s="162" t="s">
        <v>93</v>
      </c>
      <c r="N4" s="165" t="s">
        <v>77</v>
      </c>
      <c r="O4" s="165" t="s">
        <v>88</v>
      </c>
      <c r="P4" s="165" t="s">
        <v>88</v>
      </c>
      <c r="Q4" s="165" t="s">
        <v>5</v>
      </c>
    </row>
    <row r="5" spans="1:19" s="27" customFormat="1" ht="63" x14ac:dyDescent="0.25">
      <c r="A5" s="162"/>
      <c r="B5" s="162"/>
      <c r="C5" s="166"/>
      <c r="D5" s="163"/>
      <c r="E5" s="163"/>
      <c r="F5" s="163"/>
      <c r="G5" s="47" t="s">
        <v>4</v>
      </c>
      <c r="H5" s="47" t="s">
        <v>104</v>
      </c>
      <c r="I5" s="91" t="s">
        <v>91</v>
      </c>
      <c r="J5" s="163"/>
      <c r="K5" s="47"/>
      <c r="L5" s="163"/>
      <c r="M5" s="162"/>
      <c r="N5" s="166"/>
      <c r="O5" s="166"/>
      <c r="P5" s="166"/>
      <c r="Q5" s="166"/>
    </row>
    <row r="6" spans="1:19" s="27" customFormat="1" x14ac:dyDescent="0.25">
      <c r="A6" s="48">
        <v>1</v>
      </c>
      <c r="B6" s="48">
        <v>2</v>
      </c>
      <c r="C6" s="48"/>
      <c r="D6" s="48"/>
      <c r="E6" s="49">
        <v>3</v>
      </c>
      <c r="F6" s="49">
        <v>4</v>
      </c>
      <c r="G6" s="49">
        <v>5</v>
      </c>
      <c r="H6" s="49"/>
      <c r="I6" s="79">
        <v>6</v>
      </c>
      <c r="J6" s="50"/>
      <c r="K6" s="50"/>
      <c r="L6" s="50" t="s">
        <v>7</v>
      </c>
      <c r="M6" s="48">
        <v>8</v>
      </c>
      <c r="N6" s="48"/>
      <c r="O6" s="46"/>
      <c r="P6" s="46"/>
      <c r="Q6" s="46"/>
    </row>
    <row r="7" spans="1:19" s="34" customFormat="1" x14ac:dyDescent="0.25">
      <c r="A7" s="46"/>
      <c r="B7" s="46" t="s">
        <v>36</v>
      </c>
      <c r="C7" s="46"/>
      <c r="D7" s="51">
        <f>+D8+D17+D25+D28+D36</f>
        <v>34843.223659999996</v>
      </c>
      <c r="E7" s="51">
        <f>SUBTOTAL(9,E9:E37)+2405</f>
        <v>22629</v>
      </c>
      <c r="F7" s="51">
        <f>+F8+F17+F25+F28+F36</f>
        <v>0</v>
      </c>
      <c r="G7" s="51">
        <f t="shared" ref="G7:J7" si="0">+G8+G17+G25+G28+G36</f>
        <v>8709.94</v>
      </c>
      <c r="H7" s="51">
        <f t="shared" si="0"/>
        <v>8156.3160000000007</v>
      </c>
      <c r="I7" s="92">
        <f>+I8+I17+I25+I28+I36</f>
        <v>7402.8760000000002</v>
      </c>
      <c r="J7" s="51">
        <f t="shared" si="0"/>
        <v>0</v>
      </c>
      <c r="K7" s="51"/>
      <c r="L7" s="52">
        <f>I7/E7</f>
        <v>0.32714110212559105</v>
      </c>
      <c r="M7" s="53"/>
      <c r="N7" s="53"/>
      <c r="O7" s="54"/>
      <c r="P7" s="54"/>
      <c r="Q7" s="54"/>
      <c r="R7" s="33">
        <f>+F7+H7</f>
        <v>8156.3160000000007</v>
      </c>
      <c r="S7" s="88">
        <f>+R7/E7</f>
        <v>0.36043643112819834</v>
      </c>
    </row>
    <row r="8" spans="1:19" s="34" customFormat="1" ht="56.25" customHeight="1" x14ac:dyDescent="0.25">
      <c r="A8" s="46" t="s">
        <v>2</v>
      </c>
      <c r="B8" s="53" t="s">
        <v>35</v>
      </c>
      <c r="C8" s="53"/>
      <c r="D8" s="55">
        <f>SUM(D9:D16)</f>
        <v>7590</v>
      </c>
      <c r="E8" s="55">
        <f t="shared" ref="E8:J8" si="1">SUM(E9:E16)</f>
        <v>6400</v>
      </c>
      <c r="F8" s="55">
        <f t="shared" si="1"/>
        <v>0</v>
      </c>
      <c r="G8" s="55">
        <f t="shared" si="1"/>
        <v>4447.9400000000005</v>
      </c>
      <c r="H8" s="55">
        <f t="shared" si="1"/>
        <v>4447.9400000000005</v>
      </c>
      <c r="I8" s="95">
        <f>SUM(I9:I16)</f>
        <v>4549</v>
      </c>
      <c r="J8" s="55">
        <f t="shared" si="1"/>
        <v>0</v>
      </c>
      <c r="K8" s="55"/>
      <c r="L8" s="56"/>
      <c r="M8" s="53"/>
      <c r="N8" s="53"/>
      <c r="O8" s="54"/>
      <c r="P8" s="54"/>
      <c r="Q8" s="54"/>
      <c r="R8" s="33">
        <f>+I7+6234</f>
        <v>13636.876</v>
      </c>
    </row>
    <row r="9" spans="1:19" ht="31.5" x14ac:dyDescent="0.25">
      <c r="A9" s="57">
        <v>1</v>
      </c>
      <c r="B9" s="58" t="s">
        <v>19</v>
      </c>
      <c r="C9" s="59">
        <v>2026</v>
      </c>
      <c r="D9" s="49">
        <v>686</v>
      </c>
      <c r="E9" s="60">
        <v>686</v>
      </c>
      <c r="F9" s="49">
        <v>0</v>
      </c>
      <c r="G9" s="61">
        <f>+E9*79%</f>
        <v>541.94000000000005</v>
      </c>
      <c r="H9" s="61">
        <f>+G9</f>
        <v>541.94000000000005</v>
      </c>
      <c r="I9" s="96">
        <v>620</v>
      </c>
      <c r="J9" s="61"/>
      <c r="K9" s="61"/>
      <c r="L9" s="62">
        <f t="shared" ref="L9:L27" si="2">I9/E9</f>
        <v>0.90379008746355682</v>
      </c>
      <c r="M9" s="50" t="s">
        <v>40</v>
      </c>
      <c r="N9" s="50" t="s">
        <v>78</v>
      </c>
      <c r="O9" s="50"/>
      <c r="P9" s="50" t="s">
        <v>52</v>
      </c>
      <c r="Q9" s="158" t="s">
        <v>94</v>
      </c>
    </row>
    <row r="10" spans="1:19" ht="31.5" x14ac:dyDescent="0.25">
      <c r="A10" s="50">
        <f>+A9+1</f>
        <v>2</v>
      </c>
      <c r="B10" s="58" t="s">
        <v>20</v>
      </c>
      <c r="C10" s="59">
        <v>2026</v>
      </c>
      <c r="D10" s="49">
        <v>674</v>
      </c>
      <c r="E10" s="60">
        <v>476</v>
      </c>
      <c r="F10" s="61"/>
      <c r="G10" s="61">
        <v>476</v>
      </c>
      <c r="H10" s="61">
        <f t="shared" ref="H10:H16" si="3">+G10</f>
        <v>476</v>
      </c>
      <c r="I10" s="96">
        <f t="shared" ref="I10:I35" si="4">+F10+H10</f>
        <v>476</v>
      </c>
      <c r="J10" s="61"/>
      <c r="K10" s="61"/>
      <c r="L10" s="62">
        <f t="shared" si="2"/>
        <v>1</v>
      </c>
      <c r="M10" s="62">
        <f>+G10/D10</f>
        <v>0.70623145400593468</v>
      </c>
      <c r="N10" s="50" t="s">
        <v>78</v>
      </c>
      <c r="O10" s="50"/>
      <c r="P10" s="50" t="s">
        <v>52</v>
      </c>
      <c r="Q10" s="159"/>
    </row>
    <row r="11" spans="1:19" ht="31.5" x14ac:dyDescent="0.25">
      <c r="A11" s="50">
        <f t="shared" ref="A11:A16" si="5">+A10+1</f>
        <v>3</v>
      </c>
      <c r="B11" s="58" t="s">
        <v>21</v>
      </c>
      <c r="C11" s="59">
        <v>2026</v>
      </c>
      <c r="D11" s="49">
        <v>919</v>
      </c>
      <c r="E11" s="60">
        <v>644</v>
      </c>
      <c r="F11" s="61"/>
      <c r="G11" s="61">
        <v>644</v>
      </c>
      <c r="H11" s="61">
        <f t="shared" si="3"/>
        <v>644</v>
      </c>
      <c r="I11" s="96">
        <f t="shared" si="4"/>
        <v>644</v>
      </c>
      <c r="J11" s="61"/>
      <c r="K11" s="61"/>
      <c r="L11" s="62">
        <f t="shared" si="2"/>
        <v>1</v>
      </c>
      <c r="M11" s="62">
        <f t="shared" ref="M11:M23" si="6">+G11/D11</f>
        <v>0.70076169749727968</v>
      </c>
      <c r="N11" s="50" t="s">
        <v>78</v>
      </c>
      <c r="O11" s="50"/>
      <c r="P11" s="50" t="s">
        <v>52</v>
      </c>
      <c r="Q11" s="159"/>
    </row>
    <row r="12" spans="1:19" ht="31.5" x14ac:dyDescent="0.25">
      <c r="A12" s="50">
        <f t="shared" si="5"/>
        <v>4</v>
      </c>
      <c r="B12" s="58" t="s">
        <v>22</v>
      </c>
      <c r="C12" s="59">
        <v>2026</v>
      </c>
      <c r="D12" s="49">
        <v>300</v>
      </c>
      <c r="E12" s="60">
        <v>300</v>
      </c>
      <c r="F12" s="61"/>
      <c r="G12" s="61">
        <f t="shared" ref="G12" si="7">+E12*79%</f>
        <v>237</v>
      </c>
      <c r="H12" s="61">
        <f t="shared" si="3"/>
        <v>237</v>
      </c>
      <c r="I12" s="96">
        <v>260</v>
      </c>
      <c r="J12" s="61"/>
      <c r="K12" s="61"/>
      <c r="L12" s="62">
        <f t="shared" si="2"/>
        <v>0.8666666666666667</v>
      </c>
      <c r="M12" s="50" t="s">
        <v>40</v>
      </c>
      <c r="N12" s="50" t="s">
        <v>78</v>
      </c>
      <c r="O12" s="50"/>
      <c r="P12" s="50" t="s">
        <v>52</v>
      </c>
      <c r="Q12" s="159"/>
    </row>
    <row r="13" spans="1:19" ht="31.5" x14ac:dyDescent="0.25">
      <c r="A13" s="50">
        <f t="shared" si="5"/>
        <v>5</v>
      </c>
      <c r="B13" s="58" t="s">
        <v>23</v>
      </c>
      <c r="C13" s="59">
        <v>2026</v>
      </c>
      <c r="D13" s="49">
        <v>684</v>
      </c>
      <c r="E13" s="60">
        <v>479</v>
      </c>
      <c r="F13" s="61"/>
      <c r="G13" s="61">
        <v>479</v>
      </c>
      <c r="H13" s="61">
        <f t="shared" si="3"/>
        <v>479</v>
      </c>
      <c r="I13" s="96">
        <f t="shared" si="4"/>
        <v>479</v>
      </c>
      <c r="J13" s="61"/>
      <c r="K13" s="61"/>
      <c r="L13" s="62">
        <f t="shared" si="2"/>
        <v>1</v>
      </c>
      <c r="M13" s="62">
        <f t="shared" si="6"/>
        <v>0.70029239766081874</v>
      </c>
      <c r="N13" s="50" t="s">
        <v>78</v>
      </c>
      <c r="O13" s="50"/>
      <c r="P13" s="50" t="s">
        <v>52</v>
      </c>
      <c r="Q13" s="159"/>
    </row>
    <row r="14" spans="1:19" s="35" customFormat="1" ht="31.5" x14ac:dyDescent="0.25">
      <c r="A14" s="50">
        <f t="shared" si="5"/>
        <v>6</v>
      </c>
      <c r="B14" s="63" t="s">
        <v>24</v>
      </c>
      <c r="C14" s="59">
        <v>2026</v>
      </c>
      <c r="D14" s="64">
        <v>1613</v>
      </c>
      <c r="E14" s="65">
        <v>1129</v>
      </c>
      <c r="F14" s="66"/>
      <c r="G14" s="66">
        <v>1000</v>
      </c>
      <c r="H14" s="61">
        <f t="shared" si="3"/>
        <v>1000</v>
      </c>
      <c r="I14" s="96">
        <f t="shared" si="4"/>
        <v>1000</v>
      </c>
      <c r="J14" s="66"/>
      <c r="K14" s="66"/>
      <c r="L14" s="67">
        <f t="shared" si="2"/>
        <v>0.8857395925597874</v>
      </c>
      <c r="M14" s="67">
        <f t="shared" si="6"/>
        <v>0.61996280223186606</v>
      </c>
      <c r="N14" s="50" t="s">
        <v>78</v>
      </c>
      <c r="O14" s="50"/>
      <c r="P14" s="50" t="s">
        <v>52</v>
      </c>
      <c r="Q14" s="159"/>
    </row>
    <row r="15" spans="1:19" ht="31.5" x14ac:dyDescent="0.25">
      <c r="A15" s="50">
        <f t="shared" si="5"/>
        <v>7</v>
      </c>
      <c r="B15" s="58" t="s">
        <v>25</v>
      </c>
      <c r="C15" s="59">
        <v>2026</v>
      </c>
      <c r="D15" s="49">
        <v>91</v>
      </c>
      <c r="E15" s="60">
        <v>91</v>
      </c>
      <c r="F15" s="61"/>
      <c r="G15" s="61">
        <v>70</v>
      </c>
      <c r="H15" s="61">
        <f t="shared" si="3"/>
        <v>70</v>
      </c>
      <c r="I15" s="96">
        <f t="shared" si="4"/>
        <v>70</v>
      </c>
      <c r="J15" s="61"/>
      <c r="K15" s="61"/>
      <c r="L15" s="62">
        <f t="shared" si="2"/>
        <v>0.76923076923076927</v>
      </c>
      <c r="M15" s="50" t="s">
        <v>40</v>
      </c>
      <c r="N15" s="50" t="s">
        <v>78</v>
      </c>
      <c r="O15" s="50"/>
      <c r="P15" s="50" t="s">
        <v>52</v>
      </c>
      <c r="Q15" s="159"/>
    </row>
    <row r="16" spans="1:19" s="35" customFormat="1" ht="31.5" x14ac:dyDescent="0.25">
      <c r="A16" s="50">
        <f t="shared" si="5"/>
        <v>8</v>
      </c>
      <c r="B16" s="63" t="s">
        <v>26</v>
      </c>
      <c r="C16" s="59" t="s">
        <v>60</v>
      </c>
      <c r="D16" s="64">
        <v>2623</v>
      </c>
      <c r="E16" s="65">
        <v>2595</v>
      </c>
      <c r="F16" s="66"/>
      <c r="G16" s="66">
        <v>1000</v>
      </c>
      <c r="H16" s="61">
        <f t="shared" si="3"/>
        <v>1000</v>
      </c>
      <c r="I16" s="96">
        <f t="shared" si="4"/>
        <v>1000</v>
      </c>
      <c r="J16" s="66"/>
      <c r="K16" s="66"/>
      <c r="L16" s="67">
        <f t="shared" si="2"/>
        <v>0.38535645472061658</v>
      </c>
      <c r="M16" s="67">
        <f t="shared" si="6"/>
        <v>0.38124285169653072</v>
      </c>
      <c r="N16" s="50" t="s">
        <v>78</v>
      </c>
      <c r="O16" s="50"/>
      <c r="P16" s="50" t="s">
        <v>52</v>
      </c>
      <c r="Q16" s="160"/>
    </row>
    <row r="17" spans="1:17" s="34" customFormat="1" ht="31.5" x14ac:dyDescent="0.25">
      <c r="A17" s="46" t="s">
        <v>32</v>
      </c>
      <c r="B17" s="76" t="s">
        <v>37</v>
      </c>
      <c r="C17" s="59"/>
      <c r="D17" s="47">
        <f>SUM(D18:D23)</f>
        <v>4920</v>
      </c>
      <c r="E17" s="47">
        <f t="shared" ref="E17:H17" si="8">SUM(E18:E23)</f>
        <v>4270</v>
      </c>
      <c r="F17" s="47">
        <f t="shared" si="8"/>
        <v>0</v>
      </c>
      <c r="G17" s="47">
        <f t="shared" si="8"/>
        <v>2910</v>
      </c>
      <c r="H17" s="47">
        <f t="shared" si="8"/>
        <v>2910</v>
      </c>
      <c r="I17" s="91">
        <f>SUM(I18:I23)</f>
        <v>2093.6999999999998</v>
      </c>
      <c r="J17" s="68"/>
      <c r="K17" s="68"/>
      <c r="L17" s="56"/>
      <c r="M17" s="62"/>
      <c r="N17" s="62"/>
      <c r="O17" s="46"/>
      <c r="P17" s="46"/>
      <c r="Q17" s="46"/>
    </row>
    <row r="18" spans="1:17" ht="31.5" x14ac:dyDescent="0.25">
      <c r="A18" s="57">
        <f>+A16+1</f>
        <v>9</v>
      </c>
      <c r="B18" s="69" t="s">
        <v>51</v>
      </c>
      <c r="C18" s="59">
        <v>2026</v>
      </c>
      <c r="D18" s="49">
        <v>700</v>
      </c>
      <c r="E18" s="60">
        <v>350</v>
      </c>
      <c r="F18" s="61"/>
      <c r="G18" s="61">
        <v>350</v>
      </c>
      <c r="H18" s="61">
        <f>+G18</f>
        <v>350</v>
      </c>
      <c r="I18" s="96">
        <f t="shared" si="4"/>
        <v>350</v>
      </c>
      <c r="J18" s="61"/>
      <c r="K18" s="61"/>
      <c r="L18" s="62">
        <f t="shared" si="2"/>
        <v>1</v>
      </c>
      <c r="M18" s="62">
        <f t="shared" si="6"/>
        <v>0.5</v>
      </c>
      <c r="N18" s="50" t="s">
        <v>78</v>
      </c>
      <c r="O18" s="50"/>
      <c r="P18" s="50" t="s">
        <v>52</v>
      </c>
      <c r="Q18" s="158" t="s">
        <v>94</v>
      </c>
    </row>
    <row r="19" spans="1:17" ht="31.5" x14ac:dyDescent="0.25">
      <c r="A19" s="50">
        <f>+A18+1</f>
        <v>10</v>
      </c>
      <c r="B19" s="69" t="s">
        <v>27</v>
      </c>
      <c r="C19" s="59">
        <v>2026</v>
      </c>
      <c r="D19" s="70">
        <v>2000</v>
      </c>
      <c r="E19" s="60">
        <v>1500</v>
      </c>
      <c r="F19" s="61"/>
      <c r="G19" s="61">
        <v>1000</v>
      </c>
      <c r="H19" s="61">
        <f t="shared" ref="H19:H23" si="9">+G19</f>
        <v>1000</v>
      </c>
      <c r="I19" s="96">
        <f t="shared" si="4"/>
        <v>1000</v>
      </c>
      <c r="J19" s="61"/>
      <c r="K19" s="61"/>
      <c r="L19" s="62">
        <f t="shared" si="2"/>
        <v>0.66666666666666663</v>
      </c>
      <c r="M19" s="62">
        <f t="shared" si="6"/>
        <v>0.5</v>
      </c>
      <c r="N19" s="50" t="s">
        <v>78</v>
      </c>
      <c r="O19" s="50"/>
      <c r="P19" s="50" t="s">
        <v>52</v>
      </c>
      <c r="Q19" s="159"/>
    </row>
    <row r="20" spans="1:17" x14ac:dyDescent="0.25">
      <c r="A20" s="50">
        <f t="shared" ref="A20:A23" si="10">+A19+1</f>
        <v>11</v>
      </c>
      <c r="B20" s="69" t="s">
        <v>28</v>
      </c>
      <c r="C20" s="59">
        <v>2026</v>
      </c>
      <c r="D20" s="70">
        <v>420</v>
      </c>
      <c r="E20" s="60">
        <v>210</v>
      </c>
      <c r="F20" s="61"/>
      <c r="G20" s="61">
        <v>210</v>
      </c>
      <c r="H20" s="61">
        <f t="shared" si="9"/>
        <v>210</v>
      </c>
      <c r="I20" s="96">
        <f t="shared" si="4"/>
        <v>210</v>
      </c>
      <c r="J20" s="61"/>
      <c r="K20" s="61"/>
      <c r="L20" s="62">
        <f t="shared" si="2"/>
        <v>1</v>
      </c>
      <c r="M20" s="62">
        <f t="shared" si="6"/>
        <v>0.5</v>
      </c>
      <c r="N20" s="50" t="s">
        <v>78</v>
      </c>
      <c r="O20" s="50"/>
      <c r="P20" s="50"/>
      <c r="Q20" s="160"/>
    </row>
    <row r="21" spans="1:17" x14ac:dyDescent="0.25">
      <c r="A21" s="50"/>
      <c r="B21" s="69" t="s">
        <v>17</v>
      </c>
      <c r="C21" s="59"/>
      <c r="D21" s="70"/>
      <c r="E21" s="60">
        <v>860</v>
      </c>
      <c r="F21" s="61"/>
      <c r="G21" s="61"/>
      <c r="H21" s="61">
        <f>+G21</f>
        <v>0</v>
      </c>
      <c r="I21" s="89">
        <f t="shared" si="4"/>
        <v>0</v>
      </c>
      <c r="J21" s="61"/>
      <c r="K21" s="61"/>
      <c r="L21" s="62"/>
      <c r="M21" s="62"/>
      <c r="N21" s="62"/>
      <c r="O21" s="50"/>
      <c r="P21" s="50"/>
      <c r="Q21" s="50"/>
    </row>
    <row r="22" spans="1:17" s="35" customFormat="1" ht="63" x14ac:dyDescent="0.25">
      <c r="A22" s="50">
        <f>+A20+1</f>
        <v>12</v>
      </c>
      <c r="B22" s="71" t="s">
        <v>13</v>
      </c>
      <c r="C22" s="59">
        <v>2026</v>
      </c>
      <c r="D22" s="70">
        <v>800</v>
      </c>
      <c r="E22" s="65">
        <v>600</v>
      </c>
      <c r="F22" s="66"/>
      <c r="G22" s="66">
        <v>600</v>
      </c>
      <c r="H22" s="61">
        <f t="shared" si="9"/>
        <v>600</v>
      </c>
      <c r="I22" s="89">
        <v>533.70000000000005</v>
      </c>
      <c r="J22" s="66"/>
      <c r="K22" s="66"/>
      <c r="L22" s="67">
        <f t="shared" si="2"/>
        <v>0.88950000000000007</v>
      </c>
      <c r="M22" s="62">
        <f t="shared" si="6"/>
        <v>0.75</v>
      </c>
      <c r="N22" s="50" t="s">
        <v>78</v>
      </c>
      <c r="O22" s="50"/>
      <c r="P22" s="50" t="s">
        <v>52</v>
      </c>
      <c r="Q22" s="50" t="s">
        <v>95</v>
      </c>
    </row>
    <row r="23" spans="1:17" s="35" customFormat="1" ht="31.5" x14ac:dyDescent="0.25">
      <c r="A23" s="50">
        <f t="shared" si="10"/>
        <v>13</v>
      </c>
      <c r="B23" s="71" t="s">
        <v>14</v>
      </c>
      <c r="C23" s="59">
        <v>2026</v>
      </c>
      <c r="D23" s="70">
        <v>1000</v>
      </c>
      <c r="E23" s="65">
        <v>750</v>
      </c>
      <c r="F23" s="66"/>
      <c r="G23" s="66">
        <v>750</v>
      </c>
      <c r="H23" s="61">
        <f t="shared" si="9"/>
        <v>750</v>
      </c>
      <c r="I23" s="89">
        <v>0</v>
      </c>
      <c r="J23" s="66"/>
      <c r="K23" s="66"/>
      <c r="L23" s="67">
        <f t="shared" si="2"/>
        <v>0</v>
      </c>
      <c r="M23" s="62">
        <f t="shared" si="6"/>
        <v>0.75</v>
      </c>
      <c r="N23" s="62" t="s">
        <v>79</v>
      </c>
      <c r="O23" s="50"/>
      <c r="P23" s="50" t="s">
        <v>52</v>
      </c>
      <c r="Q23" s="78" t="s">
        <v>96</v>
      </c>
    </row>
    <row r="24" spans="1:17" ht="31.5" x14ac:dyDescent="0.25">
      <c r="A24" s="50"/>
      <c r="B24" s="69" t="s">
        <v>16</v>
      </c>
      <c r="C24" s="59"/>
      <c r="D24" s="70"/>
      <c r="E24" s="60">
        <v>400</v>
      </c>
      <c r="F24" s="61"/>
      <c r="G24" s="61">
        <v>0</v>
      </c>
      <c r="H24" s="61"/>
      <c r="I24" s="89">
        <f t="shared" si="4"/>
        <v>0</v>
      </c>
      <c r="J24" s="61"/>
      <c r="K24" s="61"/>
      <c r="L24" s="62">
        <f t="shared" si="2"/>
        <v>0</v>
      </c>
      <c r="M24" s="62"/>
      <c r="N24" s="62"/>
      <c r="O24" s="50"/>
      <c r="P24" s="50"/>
      <c r="Q24" s="50" t="s">
        <v>97</v>
      </c>
    </row>
    <row r="25" spans="1:17" s="34" customFormat="1" ht="53.25" customHeight="1" x14ac:dyDescent="0.25">
      <c r="A25" s="72" t="s">
        <v>34</v>
      </c>
      <c r="B25" s="53" t="s">
        <v>33</v>
      </c>
      <c r="C25" s="59"/>
      <c r="D25" s="73">
        <f t="shared" ref="D25:I25" si="11">SUM(D26:D26)</f>
        <v>6408.0456599999998</v>
      </c>
      <c r="E25" s="73">
        <f t="shared" si="11"/>
        <v>599</v>
      </c>
      <c r="F25" s="73">
        <f t="shared" si="11"/>
        <v>0</v>
      </c>
      <c r="G25" s="73">
        <f t="shared" si="11"/>
        <v>599</v>
      </c>
      <c r="H25" s="73">
        <f t="shared" si="11"/>
        <v>355.37599999999998</v>
      </c>
      <c r="I25" s="94">
        <f t="shared" si="11"/>
        <v>355.37599999999998</v>
      </c>
      <c r="J25" s="68"/>
      <c r="K25" s="68"/>
      <c r="L25" s="56"/>
      <c r="M25" s="62"/>
      <c r="N25" s="62"/>
      <c r="O25" s="46"/>
      <c r="P25" s="46"/>
      <c r="Q25" s="46"/>
    </row>
    <row r="26" spans="1:17" ht="31.5" x14ac:dyDescent="0.25">
      <c r="A26" s="50">
        <f>+A23+1</f>
        <v>14</v>
      </c>
      <c r="B26" s="69" t="s">
        <v>48</v>
      </c>
      <c r="C26" s="59" t="s">
        <v>64</v>
      </c>
      <c r="D26" s="70">
        <v>6408.0456599999998</v>
      </c>
      <c r="E26" s="61">
        <f>459+140</f>
        <v>599</v>
      </c>
      <c r="F26" s="61"/>
      <c r="G26" s="61">
        <f>+E26</f>
        <v>599</v>
      </c>
      <c r="H26" s="61">
        <v>355.37599999999998</v>
      </c>
      <c r="I26" s="89">
        <f t="shared" si="4"/>
        <v>355.37599999999998</v>
      </c>
      <c r="J26" s="61"/>
      <c r="K26" s="61">
        <f>+I26</f>
        <v>355.37599999999998</v>
      </c>
      <c r="L26" s="50"/>
      <c r="M26" s="69"/>
      <c r="N26" s="50" t="s">
        <v>78</v>
      </c>
      <c r="O26" s="50"/>
      <c r="P26" s="50"/>
      <c r="Q26" s="50" t="s">
        <v>99</v>
      </c>
    </row>
    <row r="27" spans="1:17" s="36" customFormat="1" ht="18.75" x14ac:dyDescent="0.25">
      <c r="A27" s="79" t="s">
        <v>106</v>
      </c>
      <c r="B27" s="80" t="s">
        <v>87</v>
      </c>
      <c r="C27" s="81" t="s">
        <v>62</v>
      </c>
      <c r="D27" s="82">
        <v>425</v>
      </c>
      <c r="E27" s="83">
        <v>290</v>
      </c>
      <c r="F27" s="84"/>
      <c r="G27" s="84"/>
      <c r="H27" s="61"/>
      <c r="I27" s="89">
        <f t="shared" si="4"/>
        <v>0</v>
      </c>
      <c r="J27" s="84"/>
      <c r="K27" s="84"/>
      <c r="L27" s="85">
        <f t="shared" si="2"/>
        <v>0</v>
      </c>
      <c r="M27" s="85"/>
      <c r="N27" s="79" t="s">
        <v>78</v>
      </c>
      <c r="O27" s="79"/>
      <c r="P27" s="79" t="s">
        <v>90</v>
      </c>
      <c r="Q27" s="79" t="s">
        <v>100</v>
      </c>
    </row>
    <row r="28" spans="1:17" s="34" customFormat="1" x14ac:dyDescent="0.25">
      <c r="A28" s="72" t="s">
        <v>34</v>
      </c>
      <c r="B28" s="53" t="s">
        <v>42</v>
      </c>
      <c r="C28" s="59"/>
      <c r="D28" s="73">
        <f>SUM(D29:D35)</f>
        <v>15625.177999999998</v>
      </c>
      <c r="E28" s="73">
        <f t="shared" ref="E28:J28" si="12">SUM(E29:E35)</f>
        <v>1398</v>
      </c>
      <c r="F28" s="73">
        <f t="shared" si="12"/>
        <v>0</v>
      </c>
      <c r="G28" s="73">
        <f t="shared" si="12"/>
        <v>553</v>
      </c>
      <c r="H28" s="73">
        <f t="shared" si="12"/>
        <v>259</v>
      </c>
      <c r="I28" s="94">
        <f t="shared" si="12"/>
        <v>259</v>
      </c>
      <c r="J28" s="73">
        <f t="shared" si="12"/>
        <v>0</v>
      </c>
      <c r="K28" s="73"/>
      <c r="L28" s="56"/>
      <c r="M28" s="62"/>
      <c r="N28" s="62"/>
      <c r="O28" s="46"/>
      <c r="P28" s="46"/>
      <c r="Q28" s="46"/>
    </row>
    <row r="29" spans="1:17" s="34" customFormat="1" x14ac:dyDescent="0.25">
      <c r="A29" s="57">
        <v>15</v>
      </c>
      <c r="B29" s="75" t="s">
        <v>81</v>
      </c>
      <c r="C29" s="59" t="s">
        <v>62</v>
      </c>
      <c r="D29" s="70">
        <v>2632</v>
      </c>
      <c r="E29" s="70">
        <v>276</v>
      </c>
      <c r="F29" s="68"/>
      <c r="G29" s="60">
        <f>+E29</f>
        <v>276</v>
      </c>
      <c r="H29" s="60"/>
      <c r="I29" s="89">
        <f t="shared" si="4"/>
        <v>0</v>
      </c>
      <c r="J29" s="61"/>
      <c r="K29" s="61"/>
      <c r="L29" s="56"/>
      <c r="M29" s="62"/>
      <c r="N29" s="62"/>
      <c r="O29" s="46"/>
      <c r="P29" s="46" t="s">
        <v>55</v>
      </c>
      <c r="Q29" s="46"/>
    </row>
    <row r="30" spans="1:17" x14ac:dyDescent="0.25">
      <c r="A30" s="50">
        <v>16</v>
      </c>
      <c r="B30" s="75" t="s">
        <v>43</v>
      </c>
      <c r="C30" s="59" t="s">
        <v>61</v>
      </c>
      <c r="D30" s="70">
        <v>1296.9269999999999</v>
      </c>
      <c r="E30" s="61">
        <v>59</v>
      </c>
      <c r="F30" s="61"/>
      <c r="G30" s="61"/>
      <c r="H30" s="61"/>
      <c r="I30" s="89">
        <f t="shared" si="4"/>
        <v>0</v>
      </c>
      <c r="J30" s="61"/>
      <c r="K30" s="61"/>
      <c r="L30" s="50"/>
      <c r="M30" s="69"/>
      <c r="N30" s="69"/>
      <c r="O30" s="50"/>
      <c r="P30" s="50" t="str">
        <f>P31</f>
        <v>Đã QT</v>
      </c>
      <c r="Q30" s="50"/>
    </row>
    <row r="31" spans="1:17" ht="47.25" x14ac:dyDescent="0.25">
      <c r="A31" s="50">
        <v>17</v>
      </c>
      <c r="B31" s="75" t="s">
        <v>44</v>
      </c>
      <c r="C31" s="59" t="s">
        <v>61</v>
      </c>
      <c r="D31" s="70">
        <v>1663.712</v>
      </c>
      <c r="E31" s="61">
        <v>786</v>
      </c>
      <c r="F31" s="61"/>
      <c r="G31" s="61"/>
      <c r="H31" s="61"/>
      <c r="I31" s="89">
        <f t="shared" si="4"/>
        <v>0</v>
      </c>
      <c r="J31" s="61"/>
      <c r="K31" s="61"/>
      <c r="L31" s="50"/>
      <c r="M31" s="69"/>
      <c r="N31" s="69"/>
      <c r="O31" s="50"/>
      <c r="P31" s="50" t="str">
        <f>P33</f>
        <v>Đã QT</v>
      </c>
      <c r="Q31" s="50" t="s">
        <v>101</v>
      </c>
    </row>
    <row r="32" spans="1:17" x14ac:dyDescent="0.25">
      <c r="A32" s="50">
        <v>18</v>
      </c>
      <c r="B32" s="75" t="s">
        <v>45</v>
      </c>
      <c r="C32" s="59" t="s">
        <v>63</v>
      </c>
      <c r="D32" s="70">
        <v>2623.3719999999998</v>
      </c>
      <c r="E32" s="61"/>
      <c r="F32" s="61"/>
      <c r="G32" s="61"/>
      <c r="H32" s="61"/>
      <c r="I32" s="89">
        <f t="shared" si="4"/>
        <v>0</v>
      </c>
      <c r="J32" s="61"/>
      <c r="K32" s="61"/>
      <c r="L32" s="50"/>
      <c r="M32" s="69"/>
      <c r="N32" s="69"/>
      <c r="O32" s="50"/>
      <c r="P32" s="50" t="s">
        <v>55</v>
      </c>
      <c r="Q32" s="50"/>
    </row>
    <row r="33" spans="1:17" ht="31.5" x14ac:dyDescent="0.25">
      <c r="A33" s="50">
        <v>19</v>
      </c>
      <c r="B33" s="69" t="s">
        <v>46</v>
      </c>
      <c r="C33" s="59" t="s">
        <v>61</v>
      </c>
      <c r="D33" s="70">
        <v>1964.5980000000002</v>
      </c>
      <c r="E33" s="61">
        <v>86</v>
      </c>
      <c r="F33" s="61"/>
      <c r="G33" s="86">
        <v>86</v>
      </c>
      <c r="H33" s="61">
        <v>68</v>
      </c>
      <c r="I33" s="89">
        <f t="shared" si="4"/>
        <v>68</v>
      </c>
      <c r="J33" s="61"/>
      <c r="K33" s="61"/>
      <c r="L33" s="50"/>
      <c r="M33" s="69"/>
      <c r="N33" s="69"/>
      <c r="O33" s="50"/>
      <c r="P33" s="50" t="s">
        <v>89</v>
      </c>
      <c r="Q33" s="50" t="s">
        <v>102</v>
      </c>
    </row>
    <row r="34" spans="1:17" x14ac:dyDescent="0.25">
      <c r="A34" s="50">
        <v>20</v>
      </c>
      <c r="B34" s="69" t="s">
        <v>47</v>
      </c>
      <c r="C34" s="59" t="s">
        <v>61</v>
      </c>
      <c r="D34" s="70">
        <v>2102.009</v>
      </c>
      <c r="E34" s="61">
        <v>9</v>
      </c>
      <c r="F34" s="61"/>
      <c r="G34" s="61">
        <v>9</v>
      </c>
      <c r="H34" s="61">
        <v>9</v>
      </c>
      <c r="I34" s="89">
        <f t="shared" si="4"/>
        <v>9</v>
      </c>
      <c r="J34" s="61"/>
      <c r="K34" s="61"/>
      <c r="L34" s="50"/>
      <c r="M34" s="69"/>
      <c r="N34" s="69"/>
      <c r="O34" s="50"/>
      <c r="P34" s="50" t="s">
        <v>89</v>
      </c>
      <c r="Q34" s="50"/>
    </row>
    <row r="35" spans="1:17" x14ac:dyDescent="0.25">
      <c r="A35" s="50">
        <v>21</v>
      </c>
      <c r="B35" s="69" t="s">
        <v>49</v>
      </c>
      <c r="C35" s="59" t="str">
        <f>+C34</f>
        <v>2024-2025</v>
      </c>
      <c r="D35" s="70">
        <v>3342.56</v>
      </c>
      <c r="E35" s="61">
        <v>182</v>
      </c>
      <c r="F35" s="61"/>
      <c r="G35" s="61">
        <f>+E35</f>
        <v>182</v>
      </c>
      <c r="H35" s="61">
        <f>+G35</f>
        <v>182</v>
      </c>
      <c r="I35" s="89">
        <f t="shared" si="4"/>
        <v>182</v>
      </c>
      <c r="J35" s="61"/>
      <c r="K35" s="61"/>
      <c r="L35" s="50"/>
      <c r="M35" s="69"/>
      <c r="N35" s="69"/>
      <c r="O35" s="50"/>
      <c r="P35" s="50" t="str">
        <f>P34</f>
        <v>Đã QT</v>
      </c>
      <c r="Q35" s="50"/>
    </row>
    <row r="36" spans="1:17" s="34" customFormat="1" x14ac:dyDescent="0.25">
      <c r="A36" s="46" t="s">
        <v>56</v>
      </c>
      <c r="B36" s="53" t="s">
        <v>70</v>
      </c>
      <c r="C36" s="59"/>
      <c r="D36" s="68">
        <f t="shared" ref="D36:J36" si="13">SUM(D37:D37)</f>
        <v>300</v>
      </c>
      <c r="E36" s="68">
        <f t="shared" si="13"/>
        <v>300</v>
      </c>
      <c r="F36" s="68">
        <f t="shared" si="13"/>
        <v>0</v>
      </c>
      <c r="G36" s="68">
        <f t="shared" si="13"/>
        <v>200</v>
      </c>
      <c r="H36" s="68">
        <f t="shared" si="13"/>
        <v>184</v>
      </c>
      <c r="I36" s="93">
        <f t="shared" si="13"/>
        <v>145.80000000000001</v>
      </c>
      <c r="J36" s="68">
        <f t="shared" si="13"/>
        <v>0</v>
      </c>
      <c r="K36" s="68"/>
      <c r="L36" s="46"/>
      <c r="M36" s="53"/>
      <c r="N36" s="53"/>
      <c r="O36" s="46"/>
      <c r="P36" s="46"/>
      <c r="Q36" s="46"/>
    </row>
    <row r="37" spans="1:17" ht="47.25" x14ac:dyDescent="0.25">
      <c r="A37" s="50">
        <v>22</v>
      </c>
      <c r="B37" s="69" t="s">
        <v>58</v>
      </c>
      <c r="C37" s="59">
        <v>2026</v>
      </c>
      <c r="D37" s="69">
        <v>300</v>
      </c>
      <c r="E37" s="61">
        <v>300</v>
      </c>
      <c r="F37" s="61"/>
      <c r="G37" s="61">
        <v>200</v>
      </c>
      <c r="H37" s="61">
        <v>184</v>
      </c>
      <c r="I37" s="89">
        <v>145.80000000000001</v>
      </c>
      <c r="J37" s="61"/>
      <c r="K37" s="61"/>
      <c r="L37" s="50"/>
      <c r="M37" s="69"/>
      <c r="N37" s="50" t="s">
        <v>78</v>
      </c>
      <c r="O37" s="50"/>
      <c r="P37" s="50" t="s">
        <v>52</v>
      </c>
      <c r="Q37" s="50"/>
    </row>
    <row r="38" spans="1:17" ht="27" customHeight="1" x14ac:dyDescent="0.25"/>
  </sheetData>
  <autoFilter ref="N1:N37" xr:uid="{0D5C25CE-12D3-4E78-B9AD-F523CAC75D5C}"/>
  <mergeCells count="19">
    <mergeCell ref="Q9:Q16"/>
    <mergeCell ref="Q18:Q20"/>
    <mergeCell ref="J4:J5"/>
    <mergeCell ref="L4:L5"/>
    <mergeCell ref="M4:M5"/>
    <mergeCell ref="N4:N5"/>
    <mergeCell ref="O4:O5"/>
    <mergeCell ref="P4:P5"/>
    <mergeCell ref="A1:Q1"/>
    <mergeCell ref="A2:Q2"/>
    <mergeCell ref="M3:P3"/>
    <mergeCell ref="A4:A5"/>
    <mergeCell ref="B4:B5"/>
    <mergeCell ref="C4:C5"/>
    <mergeCell ref="D4:D5"/>
    <mergeCell ref="E4:E5"/>
    <mergeCell ref="F4:F5"/>
    <mergeCell ref="G4:I4"/>
    <mergeCell ref="Q4:Q5"/>
  </mergeCells>
  <pageMargins left="0.47244094488188981" right="0.27559055118110237" top="0.47244094488188981" bottom="0.35433070866141736" header="0.31496062992125984" footer="0.31496062992125984"/>
  <pageSetup paperSize="9" scale="67"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D244-F5E7-4A37-ACE3-1513840134FD}">
  <sheetPr filterMode="1"/>
  <dimension ref="A1:R53"/>
  <sheetViews>
    <sheetView view="pageBreakPreview" topLeftCell="A30" zoomScale="85" zoomScaleNormal="85" zoomScaleSheetLayoutView="85" zoomScalePageLayoutView="52" workbookViewId="0">
      <selection activeCell="B39" sqref="B39"/>
    </sheetView>
  </sheetViews>
  <sheetFormatPr defaultColWidth="9.140625" defaultRowHeight="16.5" x14ac:dyDescent="0.25"/>
  <cols>
    <col min="1" max="1" width="7.140625" style="29" customWidth="1"/>
    <col min="2" max="2" width="49.7109375" style="28" customWidth="1"/>
    <col min="3" max="3" width="13.140625" style="28" customWidth="1"/>
    <col min="4" max="4" width="11.140625" style="28" customWidth="1"/>
    <col min="5" max="5" width="13.28515625" style="31" customWidth="1"/>
    <col min="6" max="6" width="10.7109375" style="31" customWidth="1"/>
    <col min="7" max="7" width="10.140625" style="31" customWidth="1"/>
    <col min="8" max="8" width="13.140625" style="31" customWidth="1"/>
    <col min="9" max="9" width="17.85546875" style="28" customWidth="1"/>
    <col min="10" max="10" width="10.42578125" style="28" hidden="1" customWidth="1"/>
    <col min="11" max="11" width="10.140625" style="29" customWidth="1"/>
    <col min="12" max="13" width="10.85546875" style="28" customWidth="1"/>
    <col min="14" max="14" width="0" style="29" hidden="1" customWidth="1"/>
    <col min="15" max="15" width="9.140625" style="29"/>
    <col min="16" max="16" width="19.42578125" style="29" customWidth="1"/>
    <col min="17" max="17" width="9.85546875" style="28" bestFit="1" customWidth="1"/>
    <col min="18" max="16384" width="9.140625" style="28"/>
  </cols>
  <sheetData>
    <row r="1" spans="1:18" ht="16.5" customHeight="1" x14ac:dyDescent="0.25">
      <c r="A1" s="153" t="s">
        <v>8</v>
      </c>
      <c r="B1" s="153"/>
      <c r="C1" s="153"/>
      <c r="D1" s="153"/>
      <c r="E1" s="153"/>
      <c r="F1" s="153"/>
      <c r="G1" s="153"/>
      <c r="H1" s="153"/>
      <c r="I1" s="153"/>
      <c r="J1" s="153"/>
      <c r="K1" s="153"/>
      <c r="L1" s="153"/>
      <c r="M1" s="153"/>
      <c r="N1" s="153"/>
      <c r="O1" s="153"/>
      <c r="P1" s="153"/>
    </row>
    <row r="2" spans="1:18" ht="16.5" customHeight="1" x14ac:dyDescent="0.25">
      <c r="A2" s="153" t="s">
        <v>105</v>
      </c>
      <c r="B2" s="153"/>
      <c r="C2" s="153"/>
      <c r="D2" s="153"/>
      <c r="E2" s="153"/>
      <c r="F2" s="153"/>
      <c r="G2" s="153"/>
      <c r="H2" s="153"/>
      <c r="I2" s="153"/>
      <c r="J2" s="153"/>
      <c r="K2" s="153"/>
      <c r="L2" s="153"/>
      <c r="M2" s="153"/>
      <c r="N2" s="153"/>
      <c r="O2" s="153"/>
      <c r="P2" s="153"/>
    </row>
    <row r="3" spans="1:18" x14ac:dyDescent="0.25">
      <c r="B3" s="30"/>
      <c r="C3" s="30"/>
      <c r="D3" s="30"/>
      <c r="E3" s="30"/>
      <c r="L3" s="161" t="s">
        <v>11</v>
      </c>
      <c r="M3" s="161"/>
      <c r="N3" s="161"/>
      <c r="O3" s="161"/>
    </row>
    <row r="4" spans="1:18" s="27" customFormat="1" ht="16.5" customHeight="1" x14ac:dyDescent="0.25">
      <c r="A4" s="162" t="s">
        <v>3</v>
      </c>
      <c r="B4" s="162" t="s">
        <v>0</v>
      </c>
      <c r="C4" s="165" t="s">
        <v>59</v>
      </c>
      <c r="D4" s="163" t="s">
        <v>38</v>
      </c>
      <c r="E4" s="163" t="s">
        <v>1</v>
      </c>
      <c r="F4" s="163" t="s">
        <v>57</v>
      </c>
      <c r="G4" s="164" t="s">
        <v>10</v>
      </c>
      <c r="H4" s="164"/>
      <c r="I4" s="164"/>
      <c r="J4" s="163" t="s">
        <v>92</v>
      </c>
      <c r="K4" s="163" t="s">
        <v>41</v>
      </c>
      <c r="L4" s="162" t="s">
        <v>93</v>
      </c>
      <c r="M4" s="165" t="s">
        <v>77</v>
      </c>
      <c r="N4" s="165" t="s">
        <v>88</v>
      </c>
      <c r="O4" s="165" t="s">
        <v>88</v>
      </c>
      <c r="P4" s="165" t="s">
        <v>5</v>
      </c>
    </row>
    <row r="5" spans="1:18" s="27" customFormat="1" ht="63" x14ac:dyDescent="0.25">
      <c r="A5" s="162"/>
      <c r="B5" s="162"/>
      <c r="C5" s="166"/>
      <c r="D5" s="163"/>
      <c r="E5" s="163"/>
      <c r="F5" s="163"/>
      <c r="G5" s="47" t="s">
        <v>4</v>
      </c>
      <c r="H5" s="47" t="s">
        <v>104</v>
      </c>
      <c r="I5" s="47" t="s">
        <v>91</v>
      </c>
      <c r="J5" s="163"/>
      <c r="K5" s="163"/>
      <c r="L5" s="162"/>
      <c r="M5" s="166"/>
      <c r="N5" s="166"/>
      <c r="O5" s="166"/>
      <c r="P5" s="166"/>
    </row>
    <row r="6" spans="1:18" s="27" customFormat="1" x14ac:dyDescent="0.25">
      <c r="A6" s="48">
        <v>1</v>
      </c>
      <c r="B6" s="48">
        <v>2</v>
      </c>
      <c r="C6" s="48"/>
      <c r="D6" s="48"/>
      <c r="E6" s="49">
        <v>3</v>
      </c>
      <c r="F6" s="49">
        <v>4</v>
      </c>
      <c r="G6" s="49">
        <v>5</v>
      </c>
      <c r="H6" s="49"/>
      <c r="I6" s="50">
        <v>6</v>
      </c>
      <c r="J6" s="50"/>
      <c r="K6" s="50" t="s">
        <v>7</v>
      </c>
      <c r="L6" s="48">
        <v>8</v>
      </c>
      <c r="M6" s="48"/>
      <c r="N6" s="46"/>
      <c r="O6" s="46"/>
      <c r="P6" s="46"/>
    </row>
    <row r="7" spans="1:18" s="34" customFormat="1" x14ac:dyDescent="0.25">
      <c r="A7" s="46"/>
      <c r="B7" s="46" t="s">
        <v>36</v>
      </c>
      <c r="C7" s="46"/>
      <c r="D7" s="51">
        <f>+D8+D17+D25+D32+D44+D48+D52</f>
        <v>85632.943660000004</v>
      </c>
      <c r="E7" s="51">
        <f>SUBTOTAL(9,E9:E52)</f>
        <v>18119</v>
      </c>
      <c r="F7" s="51">
        <f t="shared" ref="F7:G7" si="0">+F8+F17+F25+F32+F44+F48</f>
        <v>0</v>
      </c>
      <c r="G7" s="51">
        <f t="shared" si="0"/>
        <v>0</v>
      </c>
      <c r="H7" s="51">
        <f>SUBTOTAL(9,H9:H52)</f>
        <v>5729.5779999999995</v>
      </c>
      <c r="I7" s="51">
        <f>SUBTOTAL(9,I9:I52)</f>
        <v>6729.5779999999995</v>
      </c>
      <c r="J7" s="77">
        <f>F7/E7</f>
        <v>0</v>
      </c>
      <c r="K7" s="52">
        <f>I7/E7</f>
        <v>0.37141001159004355</v>
      </c>
      <c r="L7" s="53"/>
      <c r="M7" s="53"/>
      <c r="N7" s="54"/>
      <c r="O7" s="54"/>
      <c r="P7" s="54"/>
      <c r="Q7" s="33">
        <f>+F7+H7</f>
        <v>5729.5779999999995</v>
      </c>
      <c r="R7" s="88">
        <f>+Q7/E7</f>
        <v>0.31621932777747114</v>
      </c>
    </row>
    <row r="8" spans="1:18" s="34" customFormat="1" ht="56.25" customHeight="1" x14ac:dyDescent="0.25">
      <c r="A8" s="46" t="s">
        <v>2</v>
      </c>
      <c r="B8" s="53" t="s">
        <v>35</v>
      </c>
      <c r="C8" s="53"/>
      <c r="D8" s="55">
        <f>SUM(D9:D16)</f>
        <v>7590</v>
      </c>
      <c r="E8" s="51"/>
      <c r="F8" s="51"/>
      <c r="G8" s="51"/>
      <c r="H8" s="51"/>
      <c r="I8" s="74">
        <f t="shared" ref="I8:I53" si="1">+F8+H8</f>
        <v>0</v>
      </c>
      <c r="J8" s="51"/>
      <c r="K8" s="56"/>
      <c r="L8" s="53"/>
      <c r="M8" s="53"/>
      <c r="N8" s="54"/>
      <c r="O8" s="54"/>
      <c r="P8" s="54"/>
    </row>
    <row r="9" spans="1:18" ht="31.5" hidden="1" x14ac:dyDescent="0.25">
      <c r="A9" s="57">
        <v>1</v>
      </c>
      <c r="B9" s="58" t="s">
        <v>19</v>
      </c>
      <c r="C9" s="59">
        <v>2026</v>
      </c>
      <c r="D9" s="49">
        <v>686</v>
      </c>
      <c r="E9" s="60">
        <v>686</v>
      </c>
      <c r="F9" s="49">
        <v>0</v>
      </c>
      <c r="G9" s="61">
        <f>+E9*79%</f>
        <v>541.94000000000005</v>
      </c>
      <c r="H9" s="61">
        <f>+G9</f>
        <v>541.94000000000005</v>
      </c>
      <c r="I9" s="74">
        <f t="shared" si="1"/>
        <v>541.94000000000005</v>
      </c>
      <c r="J9" s="61"/>
      <c r="K9" s="62">
        <f t="shared" ref="K9:K31" si="2">I9/E9</f>
        <v>0.79</v>
      </c>
      <c r="L9" s="50" t="s">
        <v>40</v>
      </c>
      <c r="M9" s="50" t="s">
        <v>78</v>
      </c>
      <c r="N9" s="50"/>
      <c r="O9" s="50" t="s">
        <v>52</v>
      </c>
      <c r="P9" s="158" t="s">
        <v>94</v>
      </c>
    </row>
    <row r="10" spans="1:18" ht="31.5" hidden="1" x14ac:dyDescent="0.25">
      <c r="A10" s="50">
        <f>+A9+1</f>
        <v>2</v>
      </c>
      <c r="B10" s="58" t="s">
        <v>20</v>
      </c>
      <c r="C10" s="59">
        <v>2026</v>
      </c>
      <c r="D10" s="49">
        <v>674</v>
      </c>
      <c r="E10" s="60">
        <v>476</v>
      </c>
      <c r="F10" s="61"/>
      <c r="G10" s="61">
        <v>476</v>
      </c>
      <c r="H10" s="61">
        <f t="shared" ref="H10:H16" si="3">+G10</f>
        <v>476</v>
      </c>
      <c r="I10" s="74">
        <f t="shared" si="1"/>
        <v>476</v>
      </c>
      <c r="J10" s="61"/>
      <c r="K10" s="62">
        <f t="shared" si="2"/>
        <v>1</v>
      </c>
      <c r="L10" s="62">
        <f>+G10/D10</f>
        <v>0.70623145400593468</v>
      </c>
      <c r="M10" s="50" t="s">
        <v>78</v>
      </c>
      <c r="N10" s="50"/>
      <c r="O10" s="50" t="s">
        <v>52</v>
      </c>
      <c r="P10" s="159"/>
    </row>
    <row r="11" spans="1:18" ht="31.5" hidden="1" x14ac:dyDescent="0.25">
      <c r="A11" s="50">
        <f t="shared" ref="A11:A16" si="4">+A10+1</f>
        <v>3</v>
      </c>
      <c r="B11" s="58" t="s">
        <v>21</v>
      </c>
      <c r="C11" s="59">
        <v>2026</v>
      </c>
      <c r="D11" s="49">
        <v>919</v>
      </c>
      <c r="E11" s="60">
        <v>644</v>
      </c>
      <c r="F11" s="61"/>
      <c r="G11" s="61">
        <v>644</v>
      </c>
      <c r="H11" s="61">
        <f t="shared" si="3"/>
        <v>644</v>
      </c>
      <c r="I11" s="74">
        <f t="shared" si="1"/>
        <v>644</v>
      </c>
      <c r="J11" s="61"/>
      <c r="K11" s="62">
        <f t="shared" si="2"/>
        <v>1</v>
      </c>
      <c r="L11" s="62">
        <f t="shared" ref="L11:L23" si="5">+G11/D11</f>
        <v>0.70076169749727968</v>
      </c>
      <c r="M11" s="50" t="s">
        <v>78</v>
      </c>
      <c r="N11" s="50"/>
      <c r="O11" s="50" t="s">
        <v>52</v>
      </c>
      <c r="P11" s="159"/>
    </row>
    <row r="12" spans="1:18" ht="31.5" hidden="1" x14ac:dyDescent="0.25">
      <c r="A12" s="50">
        <f t="shared" si="4"/>
        <v>4</v>
      </c>
      <c r="B12" s="58" t="s">
        <v>22</v>
      </c>
      <c r="C12" s="59">
        <v>2026</v>
      </c>
      <c r="D12" s="49">
        <v>300</v>
      </c>
      <c r="E12" s="60">
        <v>300</v>
      </c>
      <c r="F12" s="61"/>
      <c r="G12" s="61">
        <f t="shared" ref="G12" si="6">+E12*79%</f>
        <v>237</v>
      </c>
      <c r="H12" s="61">
        <f t="shared" si="3"/>
        <v>237</v>
      </c>
      <c r="I12" s="74">
        <f t="shared" si="1"/>
        <v>237</v>
      </c>
      <c r="J12" s="61"/>
      <c r="K12" s="62">
        <f t="shared" si="2"/>
        <v>0.79</v>
      </c>
      <c r="L12" s="50" t="s">
        <v>40</v>
      </c>
      <c r="M12" s="50" t="s">
        <v>78</v>
      </c>
      <c r="N12" s="50"/>
      <c r="O12" s="50" t="s">
        <v>52</v>
      </c>
      <c r="P12" s="159"/>
    </row>
    <row r="13" spans="1:18" ht="31.5" hidden="1" x14ac:dyDescent="0.25">
      <c r="A13" s="50">
        <f t="shared" si="4"/>
        <v>5</v>
      </c>
      <c r="B13" s="58" t="s">
        <v>23</v>
      </c>
      <c r="C13" s="59">
        <v>2026</v>
      </c>
      <c r="D13" s="49">
        <v>684</v>
      </c>
      <c r="E13" s="60">
        <v>479</v>
      </c>
      <c r="F13" s="61"/>
      <c r="G13" s="61">
        <v>479</v>
      </c>
      <c r="H13" s="61">
        <f t="shared" si="3"/>
        <v>479</v>
      </c>
      <c r="I13" s="74">
        <f t="shared" si="1"/>
        <v>479</v>
      </c>
      <c r="J13" s="61"/>
      <c r="K13" s="62">
        <f t="shared" si="2"/>
        <v>1</v>
      </c>
      <c r="L13" s="62">
        <f t="shared" si="5"/>
        <v>0.70029239766081874</v>
      </c>
      <c r="M13" s="50" t="s">
        <v>78</v>
      </c>
      <c r="N13" s="50"/>
      <c r="O13" s="50" t="s">
        <v>52</v>
      </c>
      <c r="P13" s="159"/>
    </row>
    <row r="14" spans="1:18" s="35" customFormat="1" ht="31.5" hidden="1" x14ac:dyDescent="0.25">
      <c r="A14" s="50">
        <f t="shared" si="4"/>
        <v>6</v>
      </c>
      <c r="B14" s="63" t="s">
        <v>24</v>
      </c>
      <c r="C14" s="59">
        <v>2026</v>
      </c>
      <c r="D14" s="64">
        <v>1613</v>
      </c>
      <c r="E14" s="65">
        <v>1129</v>
      </c>
      <c r="F14" s="66"/>
      <c r="G14" s="66">
        <v>1000</v>
      </c>
      <c r="H14" s="61">
        <f t="shared" si="3"/>
        <v>1000</v>
      </c>
      <c r="I14" s="74">
        <f t="shared" si="1"/>
        <v>1000</v>
      </c>
      <c r="J14" s="66"/>
      <c r="K14" s="67">
        <f t="shared" si="2"/>
        <v>0.8857395925597874</v>
      </c>
      <c r="L14" s="67">
        <f t="shared" si="5"/>
        <v>0.61996280223186606</v>
      </c>
      <c r="M14" s="50" t="s">
        <v>78</v>
      </c>
      <c r="N14" s="50"/>
      <c r="O14" s="50" t="s">
        <v>52</v>
      </c>
      <c r="P14" s="159"/>
    </row>
    <row r="15" spans="1:18" ht="31.5" hidden="1" x14ac:dyDescent="0.25">
      <c r="A15" s="50">
        <f t="shared" si="4"/>
        <v>7</v>
      </c>
      <c r="B15" s="58" t="s">
        <v>25</v>
      </c>
      <c r="C15" s="59">
        <v>2026</v>
      </c>
      <c r="D15" s="49">
        <v>91</v>
      </c>
      <c r="E15" s="60">
        <v>91</v>
      </c>
      <c r="F15" s="61"/>
      <c r="G15" s="61">
        <v>70</v>
      </c>
      <c r="H15" s="61">
        <f t="shared" si="3"/>
        <v>70</v>
      </c>
      <c r="I15" s="74">
        <f t="shared" si="1"/>
        <v>70</v>
      </c>
      <c r="J15" s="61"/>
      <c r="K15" s="62">
        <f t="shared" si="2"/>
        <v>0.76923076923076927</v>
      </c>
      <c r="L15" s="50" t="s">
        <v>40</v>
      </c>
      <c r="M15" s="50" t="s">
        <v>78</v>
      </c>
      <c r="N15" s="50"/>
      <c r="O15" s="50" t="s">
        <v>52</v>
      </c>
      <c r="P15" s="159"/>
    </row>
    <row r="16" spans="1:18" s="35" customFormat="1" ht="31.5" hidden="1" x14ac:dyDescent="0.25">
      <c r="A16" s="50">
        <f t="shared" si="4"/>
        <v>8</v>
      </c>
      <c r="B16" s="63" t="s">
        <v>26</v>
      </c>
      <c r="C16" s="59" t="s">
        <v>60</v>
      </c>
      <c r="D16" s="64">
        <v>2623</v>
      </c>
      <c r="E16" s="65">
        <v>2595</v>
      </c>
      <c r="F16" s="66"/>
      <c r="G16" s="66">
        <v>1000</v>
      </c>
      <c r="H16" s="61">
        <f t="shared" si="3"/>
        <v>1000</v>
      </c>
      <c r="I16" s="74">
        <f t="shared" si="1"/>
        <v>1000</v>
      </c>
      <c r="J16" s="66"/>
      <c r="K16" s="67">
        <f t="shared" si="2"/>
        <v>0.38535645472061658</v>
      </c>
      <c r="L16" s="67">
        <f t="shared" si="5"/>
        <v>0.38124285169653072</v>
      </c>
      <c r="M16" s="50" t="s">
        <v>78</v>
      </c>
      <c r="N16" s="50"/>
      <c r="O16" s="50" t="s">
        <v>52</v>
      </c>
      <c r="P16" s="160"/>
    </row>
    <row r="17" spans="1:16" s="34" customFormat="1" ht="31.5" x14ac:dyDescent="0.25">
      <c r="A17" s="46" t="s">
        <v>32</v>
      </c>
      <c r="B17" s="76" t="s">
        <v>37</v>
      </c>
      <c r="C17" s="59"/>
      <c r="D17" s="47">
        <f>SUM(D18:D23)</f>
        <v>4920</v>
      </c>
      <c r="E17" s="68"/>
      <c r="F17" s="68"/>
      <c r="G17" s="68"/>
      <c r="H17" s="68"/>
      <c r="I17" s="51"/>
      <c r="J17" s="68"/>
      <c r="K17" s="56"/>
      <c r="L17" s="62"/>
      <c r="M17" s="62"/>
      <c r="N17" s="46"/>
      <c r="O17" s="46"/>
      <c r="P17" s="46"/>
    </row>
    <row r="18" spans="1:16" ht="31.5" hidden="1" x14ac:dyDescent="0.25">
      <c r="A18" s="57">
        <f>+A16+1</f>
        <v>9</v>
      </c>
      <c r="B18" s="69" t="s">
        <v>51</v>
      </c>
      <c r="C18" s="59">
        <v>2026</v>
      </c>
      <c r="D18" s="49">
        <v>700</v>
      </c>
      <c r="E18" s="60">
        <v>350</v>
      </c>
      <c r="F18" s="61"/>
      <c r="G18" s="61">
        <v>350</v>
      </c>
      <c r="H18" s="61">
        <f>+G18</f>
        <v>350</v>
      </c>
      <c r="I18" s="74">
        <f t="shared" si="1"/>
        <v>350</v>
      </c>
      <c r="J18" s="61"/>
      <c r="K18" s="62">
        <f t="shared" si="2"/>
        <v>1</v>
      </c>
      <c r="L18" s="62">
        <f t="shared" si="5"/>
        <v>0.5</v>
      </c>
      <c r="M18" s="50" t="s">
        <v>78</v>
      </c>
      <c r="N18" s="50"/>
      <c r="O18" s="50" t="s">
        <v>52</v>
      </c>
      <c r="P18" s="158" t="s">
        <v>94</v>
      </c>
    </row>
    <row r="19" spans="1:16" ht="31.5" hidden="1" x14ac:dyDescent="0.25">
      <c r="A19" s="50">
        <f>+A18+1</f>
        <v>10</v>
      </c>
      <c r="B19" s="69" t="s">
        <v>27</v>
      </c>
      <c r="C19" s="59">
        <v>2026</v>
      </c>
      <c r="D19" s="70">
        <v>2000</v>
      </c>
      <c r="E19" s="60">
        <v>1500</v>
      </c>
      <c r="F19" s="61"/>
      <c r="G19" s="61">
        <v>1000</v>
      </c>
      <c r="H19" s="61">
        <f t="shared" ref="H19:H23" si="7">+G19</f>
        <v>1000</v>
      </c>
      <c r="I19" s="74">
        <f t="shared" si="1"/>
        <v>1000</v>
      </c>
      <c r="J19" s="61"/>
      <c r="K19" s="62">
        <f t="shared" si="2"/>
        <v>0.66666666666666663</v>
      </c>
      <c r="L19" s="62">
        <f t="shared" si="5"/>
        <v>0.5</v>
      </c>
      <c r="M19" s="50" t="s">
        <v>78</v>
      </c>
      <c r="N19" s="50"/>
      <c r="O19" s="50" t="s">
        <v>52</v>
      </c>
      <c r="P19" s="159"/>
    </row>
    <row r="20" spans="1:16" hidden="1" x14ac:dyDescent="0.25">
      <c r="A20" s="50">
        <f t="shared" ref="A20:A23" si="8">+A19+1</f>
        <v>11</v>
      </c>
      <c r="B20" s="69" t="s">
        <v>28</v>
      </c>
      <c r="C20" s="59">
        <v>2026</v>
      </c>
      <c r="D20" s="70">
        <v>420</v>
      </c>
      <c r="E20" s="60">
        <v>210</v>
      </c>
      <c r="F20" s="61"/>
      <c r="G20" s="61">
        <v>210</v>
      </c>
      <c r="H20" s="61">
        <f t="shared" si="7"/>
        <v>210</v>
      </c>
      <c r="I20" s="74">
        <f t="shared" si="1"/>
        <v>210</v>
      </c>
      <c r="J20" s="61"/>
      <c r="K20" s="62">
        <f t="shared" si="2"/>
        <v>1</v>
      </c>
      <c r="L20" s="62">
        <f t="shared" si="5"/>
        <v>0.5</v>
      </c>
      <c r="M20" s="50" t="s">
        <v>78</v>
      </c>
      <c r="N20" s="50"/>
      <c r="O20" s="50"/>
      <c r="P20" s="160"/>
    </row>
    <row r="21" spans="1:16" x14ac:dyDescent="0.25">
      <c r="A21" s="50"/>
      <c r="B21" s="69" t="s">
        <v>17</v>
      </c>
      <c r="C21" s="59"/>
      <c r="D21" s="74"/>
      <c r="E21" s="60">
        <v>860</v>
      </c>
      <c r="F21" s="61"/>
      <c r="G21" s="61"/>
      <c r="H21" s="61">
        <f>+G21</f>
        <v>0</v>
      </c>
      <c r="I21" s="74">
        <f t="shared" si="1"/>
        <v>0</v>
      </c>
      <c r="J21" s="61"/>
      <c r="K21" s="62"/>
      <c r="L21" s="62"/>
      <c r="M21" s="62"/>
      <c r="N21" s="50"/>
      <c r="O21" s="50"/>
      <c r="P21" s="50"/>
    </row>
    <row r="22" spans="1:16" s="35" customFormat="1" ht="63" hidden="1" x14ac:dyDescent="0.25">
      <c r="A22" s="50">
        <f>+A20+1</f>
        <v>12</v>
      </c>
      <c r="B22" s="71" t="s">
        <v>13</v>
      </c>
      <c r="C22" s="59">
        <v>2026</v>
      </c>
      <c r="D22" s="70">
        <v>800</v>
      </c>
      <c r="E22" s="65">
        <v>600</v>
      </c>
      <c r="F22" s="66"/>
      <c r="G22" s="66">
        <v>600</v>
      </c>
      <c r="H22" s="61">
        <f t="shared" si="7"/>
        <v>600</v>
      </c>
      <c r="I22" s="74">
        <f t="shared" si="1"/>
        <v>600</v>
      </c>
      <c r="J22" s="66"/>
      <c r="K22" s="67">
        <f t="shared" si="2"/>
        <v>1</v>
      </c>
      <c r="L22" s="62">
        <f t="shared" si="5"/>
        <v>0.75</v>
      </c>
      <c r="M22" s="50" t="s">
        <v>78</v>
      </c>
      <c r="N22" s="50"/>
      <c r="O22" s="50" t="s">
        <v>52</v>
      </c>
      <c r="P22" s="50" t="s">
        <v>95</v>
      </c>
    </row>
    <row r="23" spans="1:16" s="35" customFormat="1" ht="31.5" hidden="1" x14ac:dyDescent="0.25">
      <c r="A23" s="50">
        <f t="shared" si="8"/>
        <v>13</v>
      </c>
      <c r="B23" s="71" t="s">
        <v>14</v>
      </c>
      <c r="C23" s="59">
        <v>2026</v>
      </c>
      <c r="D23" s="70">
        <v>1000</v>
      </c>
      <c r="E23" s="65">
        <v>750</v>
      </c>
      <c r="F23" s="66"/>
      <c r="G23" s="66">
        <v>750</v>
      </c>
      <c r="H23" s="61">
        <f t="shared" si="7"/>
        <v>750</v>
      </c>
      <c r="I23" s="74">
        <f t="shared" si="1"/>
        <v>750</v>
      </c>
      <c r="J23" s="66"/>
      <c r="K23" s="67">
        <f t="shared" si="2"/>
        <v>1</v>
      </c>
      <c r="L23" s="62">
        <f t="shared" si="5"/>
        <v>0.75</v>
      </c>
      <c r="M23" s="62" t="s">
        <v>79</v>
      </c>
      <c r="N23" s="50"/>
      <c r="O23" s="50" t="s">
        <v>52</v>
      </c>
      <c r="P23" s="78" t="s">
        <v>96</v>
      </c>
    </row>
    <row r="24" spans="1:16" ht="31.5" x14ac:dyDescent="0.25">
      <c r="A24" s="50"/>
      <c r="B24" s="69" t="s">
        <v>16</v>
      </c>
      <c r="C24" s="59"/>
      <c r="D24" s="74"/>
      <c r="E24" s="60">
        <v>400</v>
      </c>
      <c r="F24" s="61"/>
      <c r="G24" s="61">
        <v>0</v>
      </c>
      <c r="H24" s="61"/>
      <c r="I24" s="74">
        <f t="shared" si="1"/>
        <v>0</v>
      </c>
      <c r="J24" s="61"/>
      <c r="K24" s="62">
        <f t="shared" si="2"/>
        <v>0</v>
      </c>
      <c r="L24" s="62"/>
      <c r="M24" s="62"/>
      <c r="N24" s="50"/>
      <c r="O24" s="50"/>
      <c r="P24" s="50" t="s">
        <v>97</v>
      </c>
    </row>
    <row r="25" spans="1:16" s="34" customFormat="1" ht="31.5" x14ac:dyDescent="0.25">
      <c r="A25" s="72" t="s">
        <v>34</v>
      </c>
      <c r="B25" s="53" t="s">
        <v>33</v>
      </c>
      <c r="C25" s="59"/>
      <c r="D25" s="51">
        <f>SUM(D26:D30)</f>
        <v>28755.915659999999</v>
      </c>
      <c r="E25" s="68"/>
      <c r="F25" s="68"/>
      <c r="G25" s="68"/>
      <c r="H25" s="68"/>
      <c r="I25" s="51"/>
      <c r="J25" s="68"/>
      <c r="K25" s="56"/>
      <c r="L25" s="62"/>
      <c r="M25" s="62"/>
      <c r="N25" s="46"/>
      <c r="O25" s="46"/>
      <c r="P25" s="46"/>
    </row>
    <row r="26" spans="1:16" ht="31.5" hidden="1" x14ac:dyDescent="0.25">
      <c r="A26" s="50">
        <f>+A23+1</f>
        <v>14</v>
      </c>
      <c r="B26" s="69" t="s">
        <v>48</v>
      </c>
      <c r="C26" s="59" t="s">
        <v>64</v>
      </c>
      <c r="D26" s="70">
        <v>6408.0456599999998</v>
      </c>
      <c r="E26" s="61">
        <f>459+140</f>
        <v>599</v>
      </c>
      <c r="F26" s="61"/>
      <c r="G26" s="61">
        <f>+E26</f>
        <v>599</v>
      </c>
      <c r="H26" s="61">
        <v>355.37599999999998</v>
      </c>
      <c r="I26" s="74">
        <f t="shared" si="1"/>
        <v>355.37599999999998</v>
      </c>
      <c r="J26" s="61"/>
      <c r="K26" s="50"/>
      <c r="L26" s="69"/>
      <c r="M26" s="50" t="s">
        <v>78</v>
      </c>
      <c r="N26" s="50"/>
      <c r="O26" s="50" t="str">
        <f>O27</f>
        <v>Đã QT</v>
      </c>
      <c r="P26" s="50" t="s">
        <v>99</v>
      </c>
    </row>
    <row r="27" spans="1:16" s="35" customFormat="1" ht="31.5" x14ac:dyDescent="0.25">
      <c r="A27" s="98">
        <f>+A26+1</f>
        <v>15</v>
      </c>
      <c r="B27" s="71" t="s">
        <v>29</v>
      </c>
      <c r="C27" s="100" t="s">
        <v>61</v>
      </c>
      <c r="D27" s="70">
        <v>3500</v>
      </c>
      <c r="E27" s="70">
        <v>1200</v>
      </c>
      <c r="F27" s="66">
        <v>1000</v>
      </c>
      <c r="G27" s="66">
        <v>200</v>
      </c>
      <c r="H27" s="66"/>
      <c r="I27" s="70">
        <f t="shared" si="1"/>
        <v>1000</v>
      </c>
      <c r="J27" s="77"/>
      <c r="K27" s="67">
        <f t="shared" si="2"/>
        <v>0.83333333333333337</v>
      </c>
      <c r="L27" s="67"/>
      <c r="M27" s="67" t="s">
        <v>80</v>
      </c>
      <c r="N27" s="50"/>
      <c r="O27" s="98" t="s">
        <v>89</v>
      </c>
      <c r="P27" s="98" t="s">
        <v>99</v>
      </c>
    </row>
    <row r="28" spans="1:16" s="36" customFormat="1" ht="31.5" x14ac:dyDescent="0.25">
      <c r="A28" s="79">
        <f t="shared" ref="A28:A31" si="9">+A27+1</f>
        <v>16</v>
      </c>
      <c r="B28" s="138" t="s">
        <v>30</v>
      </c>
      <c r="C28" s="81" t="s">
        <v>62</v>
      </c>
      <c r="D28" s="89">
        <v>17380</v>
      </c>
      <c r="E28" s="89">
        <v>8000</v>
      </c>
      <c r="F28" s="84"/>
      <c r="G28" s="84"/>
      <c r="H28" s="84"/>
      <c r="I28" s="89">
        <f t="shared" si="1"/>
        <v>0</v>
      </c>
      <c r="J28" s="87"/>
      <c r="K28" s="85">
        <f t="shared" si="2"/>
        <v>0</v>
      </c>
      <c r="L28" s="85"/>
      <c r="M28" s="85" t="s">
        <v>80</v>
      </c>
      <c r="N28" s="90"/>
      <c r="O28" s="79" t="s">
        <v>90</v>
      </c>
      <c r="P28" s="79" t="s">
        <v>98</v>
      </c>
    </row>
    <row r="29" spans="1:16" s="36" customFormat="1" ht="31.5" x14ac:dyDescent="0.25">
      <c r="A29" s="79">
        <f t="shared" si="9"/>
        <v>17</v>
      </c>
      <c r="B29" s="138" t="s">
        <v>31</v>
      </c>
      <c r="C29" s="81" t="s">
        <v>62</v>
      </c>
      <c r="D29" s="89">
        <v>1150</v>
      </c>
      <c r="E29" s="83">
        <v>500</v>
      </c>
      <c r="F29" s="84"/>
      <c r="G29" s="84">
        <v>500</v>
      </c>
      <c r="H29" s="84">
        <v>500</v>
      </c>
      <c r="I29" s="89">
        <f t="shared" si="1"/>
        <v>500</v>
      </c>
      <c r="J29" s="61"/>
      <c r="K29" s="85">
        <f t="shared" si="2"/>
        <v>1</v>
      </c>
      <c r="L29" s="85"/>
      <c r="M29" s="85" t="s">
        <v>80</v>
      </c>
      <c r="N29" s="50"/>
      <c r="O29" s="79" t="s">
        <v>90</v>
      </c>
      <c r="P29" s="79"/>
    </row>
    <row r="30" spans="1:16" ht="31.5" x14ac:dyDescent="0.25">
      <c r="A30" s="50">
        <f t="shared" si="9"/>
        <v>18</v>
      </c>
      <c r="B30" s="69" t="s">
        <v>15</v>
      </c>
      <c r="C30" s="59" t="s">
        <v>61</v>
      </c>
      <c r="D30" s="74">
        <v>317.87</v>
      </c>
      <c r="E30" s="60">
        <v>300</v>
      </c>
      <c r="F30" s="61"/>
      <c r="G30" s="61">
        <v>300</v>
      </c>
      <c r="H30" s="61">
        <v>280</v>
      </c>
      <c r="I30" s="74">
        <f t="shared" si="1"/>
        <v>280</v>
      </c>
      <c r="J30" s="61"/>
      <c r="K30" s="62">
        <f t="shared" si="2"/>
        <v>0.93333333333333335</v>
      </c>
      <c r="L30" s="62"/>
      <c r="M30" s="62" t="s">
        <v>80</v>
      </c>
      <c r="N30" s="50"/>
      <c r="O30" s="50" t="s">
        <v>55</v>
      </c>
      <c r="P30" s="50"/>
    </row>
    <row r="31" spans="1:16" s="36" customFormat="1" ht="38.25" hidden="1" customHeight="1" x14ac:dyDescent="0.25">
      <c r="A31" s="79">
        <f t="shared" si="9"/>
        <v>19</v>
      </c>
      <c r="B31" s="80" t="s">
        <v>87</v>
      </c>
      <c r="C31" s="81" t="s">
        <v>62</v>
      </c>
      <c r="D31" s="82">
        <v>425</v>
      </c>
      <c r="E31" s="83">
        <v>290</v>
      </c>
      <c r="F31" s="84"/>
      <c r="G31" s="84"/>
      <c r="H31" s="61"/>
      <c r="I31" s="74">
        <f t="shared" si="1"/>
        <v>0</v>
      </c>
      <c r="J31" s="84"/>
      <c r="K31" s="85">
        <f t="shared" si="2"/>
        <v>0</v>
      </c>
      <c r="L31" s="85"/>
      <c r="M31" s="79" t="s">
        <v>78</v>
      </c>
      <c r="N31" s="79"/>
      <c r="O31" s="79" t="s">
        <v>90</v>
      </c>
      <c r="P31" s="79" t="s">
        <v>100</v>
      </c>
    </row>
    <row r="32" spans="1:16" s="34" customFormat="1" x14ac:dyDescent="0.25">
      <c r="A32" s="72" t="s">
        <v>34</v>
      </c>
      <c r="B32" s="53" t="s">
        <v>42</v>
      </c>
      <c r="C32" s="59"/>
      <c r="D32" s="51">
        <f>SUM(D33:D43)</f>
        <v>35070.178</v>
      </c>
      <c r="E32" s="51"/>
      <c r="F32" s="51"/>
      <c r="G32" s="51"/>
      <c r="H32" s="51"/>
      <c r="I32" s="51"/>
      <c r="J32" s="73"/>
      <c r="K32" s="56"/>
      <c r="L32" s="62"/>
      <c r="M32" s="62"/>
      <c r="N32" s="46"/>
      <c r="O32" s="46"/>
      <c r="P32" s="46"/>
    </row>
    <row r="33" spans="1:16" s="34" customFormat="1" x14ac:dyDescent="0.25">
      <c r="A33" s="57">
        <f>+A31+1</f>
        <v>20</v>
      </c>
      <c r="B33" s="75" t="s">
        <v>81</v>
      </c>
      <c r="C33" s="59" t="s">
        <v>62</v>
      </c>
      <c r="D33" s="74">
        <v>2632</v>
      </c>
      <c r="E33" s="74">
        <v>276</v>
      </c>
      <c r="F33" s="68"/>
      <c r="G33" s="60">
        <f>+E33</f>
        <v>276</v>
      </c>
      <c r="H33" s="60"/>
      <c r="I33" s="74">
        <f t="shared" si="1"/>
        <v>0</v>
      </c>
      <c r="J33" s="61"/>
      <c r="K33" s="56"/>
      <c r="L33" s="62"/>
      <c r="M33" s="62"/>
      <c r="N33" s="46"/>
      <c r="O33" s="46" t="s">
        <v>55</v>
      </c>
      <c r="P33" s="46"/>
    </row>
    <row r="34" spans="1:16" x14ac:dyDescent="0.25">
      <c r="A34" s="50">
        <f>+A33+1</f>
        <v>21</v>
      </c>
      <c r="B34" s="75" t="s">
        <v>43</v>
      </c>
      <c r="C34" s="59" t="s">
        <v>61</v>
      </c>
      <c r="D34" s="74">
        <v>1296.9269999999999</v>
      </c>
      <c r="E34" s="61">
        <v>59</v>
      </c>
      <c r="F34" s="61"/>
      <c r="G34" s="61"/>
      <c r="H34" s="61"/>
      <c r="I34" s="74">
        <f t="shared" si="1"/>
        <v>0</v>
      </c>
      <c r="J34" s="61"/>
      <c r="K34" s="50"/>
      <c r="L34" s="69"/>
      <c r="M34" s="69"/>
      <c r="N34" s="50"/>
      <c r="O34" s="50" t="str">
        <f>O35</f>
        <v>Đã QT</v>
      </c>
      <c r="P34" s="50"/>
    </row>
    <row r="35" spans="1:16" ht="47.25" x14ac:dyDescent="0.25">
      <c r="A35" s="50">
        <f>+A34+1</f>
        <v>22</v>
      </c>
      <c r="B35" s="75" t="s">
        <v>44</v>
      </c>
      <c r="C35" s="59" t="s">
        <v>61</v>
      </c>
      <c r="D35" s="74">
        <v>1663.712</v>
      </c>
      <c r="E35" s="61">
        <v>786</v>
      </c>
      <c r="F35" s="61"/>
      <c r="G35" s="61"/>
      <c r="H35" s="61"/>
      <c r="I35" s="74">
        <f t="shared" si="1"/>
        <v>0</v>
      </c>
      <c r="J35" s="61"/>
      <c r="K35" s="50"/>
      <c r="L35" s="69"/>
      <c r="M35" s="69"/>
      <c r="N35" s="50"/>
      <c r="O35" s="50" t="str">
        <f>O37</f>
        <v>Đã QT</v>
      </c>
      <c r="P35" s="50" t="s">
        <v>101</v>
      </c>
    </row>
    <row r="36" spans="1:16" x14ac:dyDescent="0.25">
      <c r="A36" s="50">
        <f t="shared" ref="A36:A43" si="10">+A35+1</f>
        <v>23</v>
      </c>
      <c r="B36" s="75" t="s">
        <v>45</v>
      </c>
      <c r="C36" s="59" t="s">
        <v>63</v>
      </c>
      <c r="D36" s="74">
        <v>2623.3719999999998</v>
      </c>
      <c r="E36" s="61"/>
      <c r="F36" s="61"/>
      <c r="G36" s="61"/>
      <c r="H36" s="61"/>
      <c r="I36" s="74">
        <f t="shared" si="1"/>
        <v>0</v>
      </c>
      <c r="J36" s="61"/>
      <c r="K36" s="50"/>
      <c r="L36" s="69"/>
      <c r="M36" s="69"/>
      <c r="N36" s="50"/>
      <c r="O36" s="50" t="s">
        <v>55</v>
      </c>
      <c r="P36" s="50"/>
    </row>
    <row r="37" spans="1:16" ht="31.5" x14ac:dyDescent="0.25">
      <c r="A37" s="50">
        <f t="shared" si="10"/>
        <v>24</v>
      </c>
      <c r="B37" s="69" t="s">
        <v>46</v>
      </c>
      <c r="C37" s="59" t="s">
        <v>61</v>
      </c>
      <c r="D37" s="74">
        <v>1964.5980000000002</v>
      </c>
      <c r="E37" s="61">
        <v>86</v>
      </c>
      <c r="F37" s="61"/>
      <c r="G37" s="86">
        <v>86</v>
      </c>
      <c r="H37" s="61">
        <v>68</v>
      </c>
      <c r="I37" s="74">
        <f t="shared" si="1"/>
        <v>68</v>
      </c>
      <c r="J37" s="61"/>
      <c r="K37" s="50"/>
      <c r="L37" s="69"/>
      <c r="M37" s="69"/>
      <c r="N37" s="50"/>
      <c r="O37" s="50" t="s">
        <v>89</v>
      </c>
      <c r="P37" s="50" t="s">
        <v>102</v>
      </c>
    </row>
    <row r="38" spans="1:16" x14ac:dyDescent="0.25">
      <c r="A38" s="50">
        <f t="shared" si="10"/>
        <v>25</v>
      </c>
      <c r="B38" s="69" t="s">
        <v>47</v>
      </c>
      <c r="C38" s="59" t="s">
        <v>61</v>
      </c>
      <c r="D38" s="74">
        <v>2102.009</v>
      </c>
      <c r="E38" s="61">
        <v>9</v>
      </c>
      <c r="F38" s="61"/>
      <c r="G38" s="61">
        <v>9</v>
      </c>
      <c r="H38" s="61">
        <v>9</v>
      </c>
      <c r="I38" s="74">
        <f t="shared" si="1"/>
        <v>9</v>
      </c>
      <c r="J38" s="61"/>
      <c r="K38" s="50"/>
      <c r="L38" s="69"/>
      <c r="M38" s="69"/>
      <c r="N38" s="50"/>
      <c r="O38" s="50" t="s">
        <v>89</v>
      </c>
      <c r="P38" s="50"/>
    </row>
    <row r="39" spans="1:16" x14ac:dyDescent="0.25">
      <c r="A39" s="50">
        <f t="shared" si="10"/>
        <v>26</v>
      </c>
      <c r="B39" s="69" t="s">
        <v>49</v>
      </c>
      <c r="C39" s="59" t="str">
        <f>+C38</f>
        <v>2024-2025</v>
      </c>
      <c r="D39" s="74">
        <v>3342.56</v>
      </c>
      <c r="E39" s="61">
        <v>182</v>
      </c>
      <c r="F39" s="61"/>
      <c r="G39" s="61">
        <f>+E39</f>
        <v>182</v>
      </c>
      <c r="H39" s="61">
        <f>+G39</f>
        <v>182</v>
      </c>
      <c r="I39" s="74">
        <f t="shared" si="1"/>
        <v>182</v>
      </c>
      <c r="J39" s="61"/>
      <c r="K39" s="50"/>
      <c r="L39" s="69"/>
      <c r="M39" s="69"/>
      <c r="N39" s="50"/>
      <c r="O39" s="50" t="str">
        <f>O38</f>
        <v>Đã QT</v>
      </c>
      <c r="P39" s="50"/>
    </row>
    <row r="40" spans="1:16" s="35" customFormat="1" ht="31.5" x14ac:dyDescent="0.25">
      <c r="A40" s="98">
        <f t="shared" si="10"/>
        <v>27</v>
      </c>
      <c r="B40" s="71" t="s">
        <v>72</v>
      </c>
      <c r="C40" s="100" t="s">
        <v>76</v>
      </c>
      <c r="D40" s="70">
        <v>6800</v>
      </c>
      <c r="E40" s="66">
        <v>1656</v>
      </c>
      <c r="F40" s="66"/>
      <c r="G40" s="66">
        <f>+E40</f>
        <v>1656</v>
      </c>
      <c r="H40" s="66">
        <v>1478.578</v>
      </c>
      <c r="I40" s="70">
        <f t="shared" si="1"/>
        <v>1478.578</v>
      </c>
      <c r="J40" s="61"/>
      <c r="K40" s="98"/>
      <c r="L40" s="71"/>
      <c r="M40" s="67" t="s">
        <v>80</v>
      </c>
      <c r="N40" s="50" t="s">
        <v>85</v>
      </c>
      <c r="O40" s="98" t="s">
        <v>89</v>
      </c>
      <c r="P40" s="98" t="s">
        <v>102</v>
      </c>
    </row>
    <row r="41" spans="1:16" s="36" customFormat="1" ht="31.5" x14ac:dyDescent="0.25">
      <c r="A41" s="79">
        <f t="shared" si="10"/>
        <v>28</v>
      </c>
      <c r="B41" s="138" t="s">
        <v>73</v>
      </c>
      <c r="C41" s="81" t="s">
        <v>61</v>
      </c>
      <c r="D41" s="89">
        <v>5000</v>
      </c>
      <c r="E41" s="84">
        <v>985</v>
      </c>
      <c r="F41" s="84"/>
      <c r="G41" s="84">
        <f>+E41</f>
        <v>985</v>
      </c>
      <c r="H41" s="84">
        <v>600</v>
      </c>
      <c r="I41" s="89">
        <f t="shared" si="1"/>
        <v>600</v>
      </c>
      <c r="J41" s="61"/>
      <c r="K41" s="79"/>
      <c r="L41" s="138"/>
      <c r="M41" s="85" t="s">
        <v>80</v>
      </c>
      <c r="N41" s="50" t="s">
        <v>86</v>
      </c>
      <c r="O41" s="79"/>
      <c r="P41" s="79"/>
    </row>
    <row r="42" spans="1:16" s="35" customFormat="1" ht="31.5" x14ac:dyDescent="0.25">
      <c r="A42" s="98">
        <f t="shared" si="10"/>
        <v>29</v>
      </c>
      <c r="B42" s="71" t="s">
        <v>74</v>
      </c>
      <c r="C42" s="100" t="s">
        <v>63</v>
      </c>
      <c r="D42" s="70">
        <v>4645</v>
      </c>
      <c r="E42" s="66">
        <v>507</v>
      </c>
      <c r="F42" s="66"/>
      <c r="G42" s="66">
        <f>+E42</f>
        <v>507</v>
      </c>
      <c r="H42" s="66">
        <f>+G42</f>
        <v>507</v>
      </c>
      <c r="I42" s="70">
        <f t="shared" si="1"/>
        <v>507</v>
      </c>
      <c r="J42" s="61"/>
      <c r="K42" s="98"/>
      <c r="L42" s="71"/>
      <c r="M42" s="67" t="s">
        <v>80</v>
      </c>
      <c r="N42" s="50"/>
      <c r="O42" s="98" t="s">
        <v>89</v>
      </c>
      <c r="P42" s="98"/>
    </row>
    <row r="43" spans="1:16" s="36" customFormat="1" ht="31.5" x14ac:dyDescent="0.25">
      <c r="A43" s="79">
        <f t="shared" si="10"/>
        <v>30</v>
      </c>
      <c r="B43" s="138" t="s">
        <v>75</v>
      </c>
      <c r="C43" s="81" t="s">
        <v>62</v>
      </c>
      <c r="D43" s="89">
        <v>3000</v>
      </c>
      <c r="E43" s="84">
        <v>1796</v>
      </c>
      <c r="F43" s="84"/>
      <c r="G43" s="84">
        <f>+E43</f>
        <v>1796</v>
      </c>
      <c r="H43" s="84">
        <f>+G43</f>
        <v>1796</v>
      </c>
      <c r="I43" s="89">
        <f t="shared" si="1"/>
        <v>1796</v>
      </c>
      <c r="J43" s="61"/>
      <c r="K43" s="79"/>
      <c r="L43" s="138"/>
      <c r="M43" s="85" t="s">
        <v>80</v>
      </c>
      <c r="N43" s="50"/>
      <c r="O43" s="79" t="s">
        <v>90</v>
      </c>
      <c r="P43" s="79"/>
    </row>
    <row r="44" spans="1:16" s="34" customFormat="1" x14ac:dyDescent="0.25">
      <c r="A44" s="46" t="s">
        <v>56</v>
      </c>
      <c r="B44" s="53" t="s">
        <v>70</v>
      </c>
      <c r="C44" s="59"/>
      <c r="D44" s="68">
        <f>SUM(D45:D47)</f>
        <v>1451.85</v>
      </c>
      <c r="E44" s="53"/>
      <c r="F44" s="53"/>
      <c r="G44" s="53"/>
      <c r="H44" s="53"/>
      <c r="I44" s="51"/>
      <c r="J44" s="53"/>
      <c r="K44" s="46"/>
      <c r="L44" s="53"/>
      <c r="M44" s="53"/>
      <c r="N44" s="46"/>
      <c r="O44" s="46"/>
      <c r="P44" s="46"/>
    </row>
    <row r="45" spans="1:16" s="104" customFormat="1" ht="47.25" x14ac:dyDescent="0.25">
      <c r="A45" s="98">
        <f>+A43+1</f>
        <v>31</v>
      </c>
      <c r="B45" s="71" t="s">
        <v>71</v>
      </c>
      <c r="C45" s="100" t="s">
        <v>62</v>
      </c>
      <c r="D45" s="71">
        <v>900</v>
      </c>
      <c r="E45" s="66">
        <v>109</v>
      </c>
      <c r="F45" s="101"/>
      <c r="G45" s="66">
        <f>+E45</f>
        <v>109</v>
      </c>
      <c r="H45" s="66">
        <f>+G45</f>
        <v>109</v>
      </c>
      <c r="I45" s="70">
        <f t="shared" si="1"/>
        <v>109</v>
      </c>
      <c r="J45" s="61"/>
      <c r="K45" s="102"/>
      <c r="L45" s="103"/>
      <c r="M45" s="67" t="s">
        <v>80</v>
      </c>
      <c r="N45" s="46"/>
      <c r="O45" s="102" t="s">
        <v>89</v>
      </c>
      <c r="P45" s="102"/>
    </row>
    <row r="46" spans="1:16" s="35" customFormat="1" ht="31.5" x14ac:dyDescent="0.25">
      <c r="A46" s="98">
        <f>+A45+1</f>
        <v>32</v>
      </c>
      <c r="B46" s="71" t="s">
        <v>50</v>
      </c>
      <c r="C46" s="100" t="s">
        <v>62</v>
      </c>
      <c r="D46" s="71">
        <v>251.85</v>
      </c>
      <c r="E46" s="66"/>
      <c r="F46" s="66"/>
      <c r="G46" s="66"/>
      <c r="H46" s="66"/>
      <c r="I46" s="70">
        <f t="shared" si="1"/>
        <v>0</v>
      </c>
      <c r="J46" s="61"/>
      <c r="K46" s="98"/>
      <c r="L46" s="71"/>
      <c r="M46" s="67" t="s">
        <v>80</v>
      </c>
      <c r="N46" s="50"/>
      <c r="O46" s="98" t="s">
        <v>89</v>
      </c>
      <c r="P46" s="98" t="s">
        <v>103</v>
      </c>
    </row>
    <row r="47" spans="1:16" ht="47.25" hidden="1" x14ac:dyDescent="0.25">
      <c r="A47" s="50">
        <f>+A46+1</f>
        <v>33</v>
      </c>
      <c r="B47" s="69" t="s">
        <v>58</v>
      </c>
      <c r="C47" s="59">
        <v>2026</v>
      </c>
      <c r="D47" s="69">
        <v>300</v>
      </c>
      <c r="E47" s="61">
        <v>300</v>
      </c>
      <c r="F47" s="61"/>
      <c r="G47" s="61">
        <v>200</v>
      </c>
      <c r="H47" s="61">
        <v>184</v>
      </c>
      <c r="I47" s="74">
        <f t="shared" si="1"/>
        <v>184</v>
      </c>
      <c r="J47" s="61"/>
      <c r="K47" s="50"/>
      <c r="L47" s="69"/>
      <c r="M47" s="50" t="s">
        <v>78</v>
      </c>
      <c r="N47" s="50"/>
      <c r="O47" s="50" t="s">
        <v>52</v>
      </c>
      <c r="P47" s="50"/>
    </row>
    <row r="48" spans="1:16" s="34" customFormat="1" ht="17.25" customHeight="1" x14ac:dyDescent="0.25">
      <c r="A48" s="46" t="s">
        <v>65</v>
      </c>
      <c r="B48" s="53" t="s">
        <v>66</v>
      </c>
      <c r="C48" s="59"/>
      <c r="D48" s="68">
        <f>SUM(D49:D51)</f>
        <v>5845</v>
      </c>
      <c r="E48" s="53"/>
      <c r="F48" s="53"/>
      <c r="G48" s="53"/>
      <c r="H48" s="53"/>
      <c r="I48" s="51"/>
      <c r="J48" s="53"/>
      <c r="K48" s="46"/>
      <c r="L48" s="53"/>
      <c r="M48" s="53"/>
      <c r="N48" s="46"/>
      <c r="O48" s="46"/>
      <c r="P48" s="46"/>
    </row>
    <row r="49" spans="1:16" s="36" customFormat="1" ht="47.25" x14ac:dyDescent="0.25">
      <c r="A49" s="79">
        <f>+A47+1</f>
        <v>34</v>
      </c>
      <c r="B49" s="139" t="s">
        <v>67</v>
      </c>
      <c r="C49" s="81" t="s">
        <v>62</v>
      </c>
      <c r="D49" s="83">
        <v>2145</v>
      </c>
      <c r="E49" s="84">
        <v>208</v>
      </c>
      <c r="F49" s="84"/>
      <c r="G49" s="84"/>
      <c r="H49" s="84"/>
      <c r="I49" s="89">
        <f t="shared" si="1"/>
        <v>0</v>
      </c>
      <c r="J49" s="69"/>
      <c r="K49" s="79"/>
      <c r="L49" s="138"/>
      <c r="M49" s="85" t="s">
        <v>80</v>
      </c>
      <c r="N49" s="50"/>
      <c r="O49" s="79" t="s">
        <v>90</v>
      </c>
      <c r="P49" s="79"/>
    </row>
    <row r="50" spans="1:16" s="35" customFormat="1" ht="31.5" x14ac:dyDescent="0.25">
      <c r="A50" s="98">
        <f>+A49+1</f>
        <v>35</v>
      </c>
      <c r="B50" s="105" t="s">
        <v>68</v>
      </c>
      <c r="C50" s="100" t="str">
        <f>+C49</f>
        <v>2025-2026</v>
      </c>
      <c r="D50" s="71">
        <v>1700</v>
      </c>
      <c r="E50" s="66"/>
      <c r="F50" s="66"/>
      <c r="G50" s="66"/>
      <c r="H50" s="66"/>
      <c r="I50" s="70">
        <f t="shared" si="1"/>
        <v>0</v>
      </c>
      <c r="J50" s="69"/>
      <c r="K50" s="98"/>
      <c r="L50" s="71"/>
      <c r="M50" s="67" t="s">
        <v>80</v>
      </c>
      <c r="N50" s="50"/>
      <c r="O50" s="98" t="s">
        <v>55</v>
      </c>
      <c r="P50" s="98"/>
    </row>
    <row r="51" spans="1:16" s="35" customFormat="1" ht="31.5" x14ac:dyDescent="0.25">
      <c r="A51" s="98">
        <f>+A50+1</f>
        <v>36</v>
      </c>
      <c r="B51" s="105" t="s">
        <v>69</v>
      </c>
      <c r="C51" s="100" t="s">
        <v>62</v>
      </c>
      <c r="D51" s="65">
        <v>2000</v>
      </c>
      <c r="E51" s="66">
        <v>200</v>
      </c>
      <c r="F51" s="66"/>
      <c r="G51" s="66">
        <f>+E51</f>
        <v>200</v>
      </c>
      <c r="H51" s="66">
        <v>200</v>
      </c>
      <c r="I51" s="70">
        <f t="shared" si="1"/>
        <v>200</v>
      </c>
      <c r="J51" s="61"/>
      <c r="K51" s="98"/>
      <c r="L51" s="71"/>
      <c r="M51" s="67" t="s">
        <v>80</v>
      </c>
      <c r="N51" s="50"/>
      <c r="O51" s="98" t="s">
        <v>89</v>
      </c>
      <c r="P51" s="98"/>
    </row>
    <row r="52" spans="1:16" s="34" customFormat="1" ht="17.25" customHeight="1" x14ac:dyDescent="0.25">
      <c r="A52" s="46" t="s">
        <v>82</v>
      </c>
      <c r="B52" s="53" t="s">
        <v>83</v>
      </c>
      <c r="C52" s="59"/>
      <c r="D52" s="68">
        <f>SUM(D53:D55)</f>
        <v>2000</v>
      </c>
      <c r="E52" s="53"/>
      <c r="F52" s="53"/>
      <c r="G52" s="53"/>
      <c r="H52" s="53"/>
      <c r="I52" s="74"/>
      <c r="J52" s="53"/>
      <c r="K52" s="46"/>
      <c r="L52" s="53"/>
      <c r="M52" s="53"/>
      <c r="N52" s="46"/>
      <c r="O52" s="46"/>
      <c r="P52" s="46"/>
    </row>
    <row r="53" spans="1:16" x14ac:dyDescent="0.25">
      <c r="A53" s="50">
        <v>37</v>
      </c>
      <c r="B53" s="75" t="s">
        <v>84</v>
      </c>
      <c r="C53" s="59" t="s">
        <v>62</v>
      </c>
      <c r="D53" s="60">
        <v>2000</v>
      </c>
      <c r="E53" s="61"/>
      <c r="F53" s="61"/>
      <c r="G53" s="61"/>
      <c r="H53" s="61"/>
      <c r="I53" s="74">
        <f t="shared" si="1"/>
        <v>0</v>
      </c>
      <c r="J53" s="69"/>
      <c r="K53" s="50"/>
      <c r="L53" s="69"/>
      <c r="M53" s="62" t="s">
        <v>80</v>
      </c>
      <c r="N53" s="50"/>
      <c r="O53" s="50" t="s">
        <v>89</v>
      </c>
      <c r="P53" s="50"/>
    </row>
  </sheetData>
  <autoFilter ref="M1:M53" xr:uid="{0D5C25CE-12D3-4E78-B9AD-F523CAC75D5C}">
    <filterColumn colId="0">
      <filters blank="1">
        <filter val="CĐT"/>
        <filter val="VP"/>
      </filters>
    </filterColumn>
  </autoFilter>
  <mergeCells count="19">
    <mergeCell ref="P9:P16"/>
    <mergeCell ref="P18:P20"/>
    <mergeCell ref="J4:J5"/>
    <mergeCell ref="K4:K5"/>
    <mergeCell ref="L4:L5"/>
    <mergeCell ref="M4:M5"/>
    <mergeCell ref="N4:N5"/>
    <mergeCell ref="O4:O5"/>
    <mergeCell ref="A1:P1"/>
    <mergeCell ref="A2:P2"/>
    <mergeCell ref="L3:O3"/>
    <mergeCell ref="A4:A5"/>
    <mergeCell ref="B4:B5"/>
    <mergeCell ref="C4:C5"/>
    <mergeCell ref="D4:D5"/>
    <mergeCell ref="E4:E5"/>
    <mergeCell ref="F4:F5"/>
    <mergeCell ref="G4:I4"/>
    <mergeCell ref="P4:P5"/>
  </mergeCells>
  <pageMargins left="0.47244094488188981" right="0.27559055118110237" top="0.47244094488188981" bottom="0.35433070866141736" header="0.31496062992125984" footer="0.31496062992125984"/>
  <pageSetup paperSize="9" scale="67"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EBDA-1133-406E-9080-3ADDA3942514}">
  <dimension ref="A1:K65"/>
  <sheetViews>
    <sheetView zoomScaleNormal="100" workbookViewId="0">
      <selection activeCell="J21" sqref="J21"/>
    </sheetView>
  </sheetViews>
  <sheetFormatPr defaultRowHeight="15.75" x14ac:dyDescent="0.25"/>
  <cols>
    <col min="1" max="1" width="6.28515625" style="122" customWidth="1"/>
    <col min="2" max="2" width="64" style="118" customWidth="1"/>
    <col min="3" max="3" width="15" style="118" customWidth="1"/>
    <col min="4" max="4" width="11.85546875" style="118" customWidth="1"/>
    <col min="5" max="6" width="15.42578125" style="118" customWidth="1"/>
    <col min="7" max="7" width="13.7109375" style="118" customWidth="1"/>
    <col min="8" max="8" width="22.42578125" style="118" customWidth="1"/>
    <col min="9" max="9" width="10.42578125" style="118" bestFit="1" customWidth="1"/>
    <col min="10" max="10" width="9.140625" style="118"/>
    <col min="11" max="11" width="10.7109375" style="118" bestFit="1" customWidth="1"/>
    <col min="12" max="16384" width="9.140625" style="118"/>
  </cols>
  <sheetData>
    <row r="1" spans="1:11" ht="18.75" x14ac:dyDescent="0.3">
      <c r="A1" s="168" t="s">
        <v>8</v>
      </c>
      <c r="B1" s="168"/>
      <c r="C1" s="168"/>
      <c r="D1" s="168"/>
      <c r="E1" s="168"/>
      <c r="F1" s="168"/>
      <c r="G1" s="168"/>
      <c r="H1" s="168"/>
    </row>
    <row r="2" spans="1:11" ht="18.75" x14ac:dyDescent="0.3">
      <c r="A2" s="167" t="s">
        <v>170</v>
      </c>
      <c r="B2" s="167"/>
      <c r="C2" s="167"/>
      <c r="D2" s="167"/>
      <c r="E2" s="167"/>
      <c r="F2" s="167"/>
      <c r="G2" s="167"/>
      <c r="H2" s="167"/>
    </row>
    <row r="4" spans="1:11" s="107" customFormat="1" ht="94.5" x14ac:dyDescent="0.25">
      <c r="A4" s="106" t="s">
        <v>107</v>
      </c>
      <c r="B4" s="106" t="s">
        <v>108</v>
      </c>
      <c r="C4" s="46" t="s">
        <v>169</v>
      </c>
      <c r="D4" s="46" t="s">
        <v>109</v>
      </c>
      <c r="E4" s="46" t="s">
        <v>110</v>
      </c>
      <c r="F4" s="46" t="s">
        <v>168</v>
      </c>
      <c r="G4" s="46" t="s">
        <v>171</v>
      </c>
      <c r="H4" s="46" t="s">
        <v>111</v>
      </c>
    </row>
    <row r="5" spans="1:11" s="107" customFormat="1" x14ac:dyDescent="0.25">
      <c r="A5" s="106"/>
      <c r="B5" s="106" t="s">
        <v>36</v>
      </c>
      <c r="C5" s="128">
        <f>+C6+C48</f>
        <v>45557</v>
      </c>
      <c r="D5" s="128">
        <f>+D6+D48</f>
        <v>14503.300469999998</v>
      </c>
      <c r="E5" s="128">
        <f>+E6+E48</f>
        <v>19665</v>
      </c>
      <c r="F5" s="124">
        <f>+(D5+E5)/C5</f>
        <v>0.75001208310468204</v>
      </c>
      <c r="G5" s="108">
        <f>+C5-D5-E5</f>
        <v>11388.699530000002</v>
      </c>
      <c r="H5" s="109"/>
      <c r="I5" s="123"/>
      <c r="J5" s="110"/>
    </row>
    <row r="6" spans="1:11" s="114" customFormat="1" x14ac:dyDescent="0.25">
      <c r="A6" s="106" t="s">
        <v>2</v>
      </c>
      <c r="B6" s="53" t="s">
        <v>112</v>
      </c>
      <c r="C6" s="129">
        <f>SUM(C8:C47)</f>
        <v>40975.628301999997</v>
      </c>
      <c r="D6" s="129">
        <f t="shared" ref="D6" si="0">SUM(D8:D47)</f>
        <v>11090.060469999999</v>
      </c>
      <c r="E6" s="129">
        <f>SUM(E8:E47)</f>
        <v>19496.819</v>
      </c>
      <c r="F6" s="124">
        <f>+(D6+E6)/C6</f>
        <v>0.74646517301864224</v>
      </c>
      <c r="G6" s="111">
        <f>SUM(G8:G47)</f>
        <v>10388.746831999999</v>
      </c>
      <c r="H6" s="112"/>
      <c r="I6" s="113"/>
      <c r="K6" s="115"/>
    </row>
    <row r="7" spans="1:11" s="114" customFormat="1" x14ac:dyDescent="0.25">
      <c r="A7" s="106"/>
      <c r="B7" s="53" t="s">
        <v>113</v>
      </c>
      <c r="C7" s="126"/>
      <c r="D7" s="127"/>
      <c r="E7" s="127"/>
      <c r="F7" s="125"/>
      <c r="G7" s="116">
        <f>+C7-D7-E7</f>
        <v>0</v>
      </c>
      <c r="H7" s="112"/>
      <c r="I7" s="113"/>
    </row>
    <row r="8" spans="1:11" ht="31.5" x14ac:dyDescent="0.25">
      <c r="A8" s="136">
        <v>1</v>
      </c>
      <c r="B8" s="69" t="s">
        <v>114</v>
      </c>
      <c r="C8" s="130">
        <v>1200</v>
      </c>
      <c r="D8" s="130">
        <v>1199.998</v>
      </c>
      <c r="E8" s="130"/>
      <c r="F8" s="125">
        <f>+(D8+E8)/C8</f>
        <v>0.99999833333333332</v>
      </c>
      <c r="G8" s="134"/>
      <c r="H8" s="117"/>
    </row>
    <row r="9" spans="1:11" ht="31.5" x14ac:dyDescent="0.25">
      <c r="A9" s="136">
        <f>+A8+1</f>
        <v>2</v>
      </c>
      <c r="B9" s="69" t="s">
        <v>115</v>
      </c>
      <c r="C9" s="130">
        <v>191.13599438140227</v>
      </c>
      <c r="D9" s="130"/>
      <c r="E9" s="130"/>
      <c r="F9" s="125"/>
      <c r="G9" s="134">
        <f t="shared" ref="G9:G16" si="1">+C9-D9-E9</f>
        <v>191.13599438140227</v>
      </c>
      <c r="H9" s="50"/>
      <c r="J9" s="119"/>
    </row>
    <row r="10" spans="1:11" ht="31.5" x14ac:dyDescent="0.25">
      <c r="A10" s="136">
        <f t="shared" ref="A10:A47" si="2">+A9+1</f>
        <v>3</v>
      </c>
      <c r="B10" s="69" t="s">
        <v>116</v>
      </c>
      <c r="C10" s="130">
        <v>19</v>
      </c>
      <c r="D10" s="130"/>
      <c r="E10" s="130"/>
      <c r="F10" s="125"/>
      <c r="G10" s="134">
        <f t="shared" si="1"/>
        <v>19</v>
      </c>
      <c r="H10" s="50"/>
    </row>
    <row r="11" spans="1:11" ht="31.5" x14ac:dyDescent="0.25">
      <c r="A11" s="136">
        <f t="shared" si="2"/>
        <v>4</v>
      </c>
      <c r="B11" s="69" t="s">
        <v>117</v>
      </c>
      <c r="C11" s="130">
        <v>2</v>
      </c>
      <c r="D11" s="130"/>
      <c r="E11" s="130"/>
      <c r="F11" s="125"/>
      <c r="G11" s="134">
        <f t="shared" si="1"/>
        <v>2</v>
      </c>
      <c r="H11" s="50"/>
    </row>
    <row r="12" spans="1:11" ht="31.5" x14ac:dyDescent="0.25">
      <c r="A12" s="136">
        <f t="shared" si="2"/>
        <v>5</v>
      </c>
      <c r="B12" s="69" t="s">
        <v>118</v>
      </c>
      <c r="C12" s="130">
        <f>459+140.44</f>
        <v>599.44000000000005</v>
      </c>
      <c r="D12" s="130">
        <v>355.37599999999998</v>
      </c>
      <c r="E12" s="130"/>
      <c r="F12" s="125">
        <f>+(D12+E12)/C12</f>
        <v>0.59284665687975435</v>
      </c>
      <c r="G12" s="134">
        <f t="shared" si="1"/>
        <v>244.06400000000008</v>
      </c>
      <c r="H12" s="50"/>
    </row>
    <row r="13" spans="1:11" x14ac:dyDescent="0.25">
      <c r="A13" s="136">
        <f t="shared" si="2"/>
        <v>6</v>
      </c>
      <c r="B13" s="69" t="s">
        <v>119</v>
      </c>
      <c r="C13" s="130">
        <v>78</v>
      </c>
      <c r="D13" s="130"/>
      <c r="E13" s="130"/>
      <c r="F13" s="125"/>
      <c r="G13" s="134">
        <f t="shared" si="1"/>
        <v>78</v>
      </c>
      <c r="H13" s="50"/>
    </row>
    <row r="14" spans="1:11" s="114" customFormat="1" x14ac:dyDescent="0.25">
      <c r="A14" s="106"/>
      <c r="B14" s="53" t="s">
        <v>120</v>
      </c>
      <c r="C14" s="130"/>
      <c r="D14" s="131"/>
      <c r="E14" s="130"/>
      <c r="F14" s="125"/>
      <c r="G14" s="134">
        <f t="shared" si="1"/>
        <v>0</v>
      </c>
      <c r="H14" s="50"/>
    </row>
    <row r="15" spans="1:11" ht="47.25" x14ac:dyDescent="0.25">
      <c r="A15" s="136">
        <f>+A13+1</f>
        <v>7</v>
      </c>
      <c r="B15" s="69" t="s">
        <v>121</v>
      </c>
      <c r="C15" s="130">
        <v>786</v>
      </c>
      <c r="D15" s="130"/>
      <c r="E15" s="130"/>
      <c r="F15" s="125"/>
      <c r="G15" s="134">
        <f t="shared" si="1"/>
        <v>786</v>
      </c>
      <c r="H15" s="50"/>
    </row>
    <row r="16" spans="1:11" ht="31.5" x14ac:dyDescent="0.25">
      <c r="A16" s="136">
        <f t="shared" si="2"/>
        <v>8</v>
      </c>
      <c r="B16" s="69" t="s">
        <v>122</v>
      </c>
      <c r="C16" s="130">
        <v>59</v>
      </c>
      <c r="D16" s="130"/>
      <c r="E16" s="130">
        <v>15.141999999999999</v>
      </c>
      <c r="F16" s="125"/>
      <c r="G16" s="134">
        <f t="shared" si="1"/>
        <v>43.858000000000004</v>
      </c>
      <c r="H16" s="50"/>
    </row>
    <row r="17" spans="1:8" x14ac:dyDescent="0.25">
      <c r="A17" s="136">
        <f t="shared" si="2"/>
        <v>9</v>
      </c>
      <c r="B17" s="69" t="s">
        <v>123</v>
      </c>
      <c r="C17" s="130">
        <v>984.56500000000005</v>
      </c>
      <c r="D17" s="130">
        <v>984.56500000000005</v>
      </c>
      <c r="E17" s="130"/>
      <c r="F17" s="125">
        <f>+(D17+E17)/C17</f>
        <v>1</v>
      </c>
      <c r="G17" s="134"/>
      <c r="H17" s="117"/>
    </row>
    <row r="18" spans="1:8" ht="31.5" x14ac:dyDescent="0.25">
      <c r="A18" s="136">
        <f t="shared" si="2"/>
        <v>10</v>
      </c>
      <c r="B18" s="69" t="s">
        <v>124</v>
      </c>
      <c r="C18" s="130">
        <v>181.95699999999999</v>
      </c>
      <c r="D18" s="130">
        <v>181.95699999999999</v>
      </c>
      <c r="E18" s="130"/>
      <c r="F18" s="125">
        <f>+(D18+E18)/C18</f>
        <v>1</v>
      </c>
      <c r="G18" s="134"/>
      <c r="H18" s="117"/>
    </row>
    <row r="19" spans="1:8" ht="31.5" x14ac:dyDescent="0.25">
      <c r="A19" s="136">
        <f t="shared" si="2"/>
        <v>11</v>
      </c>
      <c r="B19" s="69" t="s">
        <v>125</v>
      </c>
      <c r="C19" s="130">
        <v>500</v>
      </c>
      <c r="D19" s="130">
        <v>389.78899999999999</v>
      </c>
      <c r="E19" s="130"/>
      <c r="F19" s="125">
        <f>+(D19+E19)/C19</f>
        <v>0.77957799999999999</v>
      </c>
      <c r="G19" s="134">
        <f>+C19-D19-E19</f>
        <v>110.21100000000001</v>
      </c>
      <c r="H19" s="117"/>
    </row>
    <row r="20" spans="1:8" ht="78.75" x14ac:dyDescent="0.25">
      <c r="A20" s="136">
        <f t="shared" si="2"/>
        <v>12</v>
      </c>
      <c r="B20" s="69" t="s">
        <v>126</v>
      </c>
      <c r="C20" s="130">
        <v>8000</v>
      </c>
      <c r="D20" s="130"/>
      <c r="E20" s="130">
        <v>2492.4798308413083</v>
      </c>
      <c r="F20" s="125">
        <f>+(D20+E20)/C20</f>
        <v>0.31155997885516351</v>
      </c>
      <c r="G20" s="134">
        <f>+C20-D20-E20</f>
        <v>5507.5201691586917</v>
      </c>
      <c r="H20" s="120" t="s">
        <v>172</v>
      </c>
    </row>
    <row r="21" spans="1:8" ht="31.5" x14ac:dyDescent="0.25">
      <c r="A21" s="136">
        <f t="shared" si="2"/>
        <v>13</v>
      </c>
      <c r="B21" s="69" t="s">
        <v>15</v>
      </c>
      <c r="C21" s="130">
        <v>300</v>
      </c>
      <c r="D21" s="130">
        <v>230</v>
      </c>
      <c r="E21" s="130"/>
      <c r="F21" s="125">
        <f>+(D21+E21)/C21</f>
        <v>0.76666666666666672</v>
      </c>
      <c r="G21" s="134">
        <f>+C21-D21-E21</f>
        <v>70</v>
      </c>
      <c r="H21" s="117"/>
    </row>
    <row r="22" spans="1:8" s="114" customFormat="1" x14ac:dyDescent="0.25">
      <c r="A22" s="106"/>
      <c r="B22" s="53" t="s">
        <v>127</v>
      </c>
      <c r="C22" s="130"/>
      <c r="D22" s="131"/>
      <c r="E22" s="130"/>
      <c r="F22" s="125"/>
      <c r="G22" s="134"/>
      <c r="H22" s="112"/>
    </row>
    <row r="23" spans="1:8" ht="47.25" x14ac:dyDescent="0.25">
      <c r="A23" s="136">
        <f>+A21+1</f>
        <v>14</v>
      </c>
      <c r="B23" s="69" t="s">
        <v>128</v>
      </c>
      <c r="C23" s="130">
        <v>300</v>
      </c>
      <c r="D23" s="130">
        <v>145.80000000000001</v>
      </c>
      <c r="E23" s="130">
        <f>250-D23</f>
        <v>104.19999999999999</v>
      </c>
      <c r="F23" s="125">
        <f t="shared" ref="F23:F35" si="3">+(D23+E23)/C23</f>
        <v>0.83333333333333337</v>
      </c>
      <c r="G23" s="134">
        <f>+C23-D23-E23</f>
        <v>50</v>
      </c>
      <c r="H23" s="117"/>
    </row>
    <row r="24" spans="1:8" ht="31.5" x14ac:dyDescent="0.25">
      <c r="A24" s="136">
        <f t="shared" ref="A24:A25" si="4">+A23+1</f>
        <v>15</v>
      </c>
      <c r="B24" s="69" t="s">
        <v>129</v>
      </c>
      <c r="C24" s="132">
        <v>770.30927835051546</v>
      </c>
      <c r="D24" s="130">
        <v>533.70000000000005</v>
      </c>
      <c r="E24" s="130">
        <f t="shared" ref="E24:E35" si="5">+C24-D24</f>
        <v>236.60927835051541</v>
      </c>
      <c r="F24" s="125">
        <f t="shared" si="3"/>
        <v>1</v>
      </c>
      <c r="G24" s="134"/>
      <c r="H24" s="117"/>
    </row>
    <row r="25" spans="1:8" ht="31.5" x14ac:dyDescent="0.25">
      <c r="A25" s="136">
        <f t="shared" si="4"/>
        <v>16</v>
      </c>
      <c r="B25" s="69" t="s">
        <v>130</v>
      </c>
      <c r="C25" s="132">
        <v>962.8865979381444</v>
      </c>
      <c r="D25" s="130">
        <v>678.9</v>
      </c>
      <c r="E25" s="130">
        <f t="shared" si="5"/>
        <v>283.98659793814443</v>
      </c>
      <c r="F25" s="125">
        <f t="shared" si="3"/>
        <v>1</v>
      </c>
      <c r="G25" s="134"/>
      <c r="H25" s="117"/>
    </row>
    <row r="26" spans="1:8" ht="31.5" x14ac:dyDescent="0.25">
      <c r="A26" s="136">
        <f>+A19+1</f>
        <v>12</v>
      </c>
      <c r="B26" s="69" t="s">
        <v>131</v>
      </c>
      <c r="C26" s="132">
        <v>635</v>
      </c>
      <c r="D26" s="130">
        <v>476</v>
      </c>
      <c r="E26" s="130">
        <f t="shared" si="5"/>
        <v>159</v>
      </c>
      <c r="F26" s="125">
        <f t="shared" si="3"/>
        <v>1</v>
      </c>
      <c r="G26" s="134"/>
      <c r="H26" s="117"/>
    </row>
    <row r="27" spans="1:8" ht="31.5" x14ac:dyDescent="0.25">
      <c r="A27" s="136">
        <f t="shared" si="2"/>
        <v>13</v>
      </c>
      <c r="B27" s="69" t="s">
        <v>132</v>
      </c>
      <c r="C27" s="132">
        <v>1845</v>
      </c>
      <c r="D27" s="130">
        <v>1000</v>
      </c>
      <c r="E27" s="130">
        <f t="shared" si="5"/>
        <v>845</v>
      </c>
      <c r="F27" s="125">
        <f t="shared" si="3"/>
        <v>1</v>
      </c>
      <c r="G27" s="134"/>
      <c r="H27" s="117"/>
    </row>
    <row r="28" spans="1:8" x14ac:dyDescent="0.25">
      <c r="A28" s="136">
        <f t="shared" si="2"/>
        <v>14</v>
      </c>
      <c r="B28" s="69" t="s">
        <v>133</v>
      </c>
      <c r="C28" s="132">
        <v>523</v>
      </c>
      <c r="D28" s="130">
        <v>260</v>
      </c>
      <c r="E28" s="130">
        <f t="shared" si="5"/>
        <v>263</v>
      </c>
      <c r="F28" s="125">
        <f t="shared" si="3"/>
        <v>1</v>
      </c>
      <c r="G28" s="134"/>
      <c r="H28" s="117"/>
    </row>
    <row r="29" spans="1:8" ht="31.5" x14ac:dyDescent="0.25">
      <c r="A29" s="136">
        <f t="shared" si="2"/>
        <v>15</v>
      </c>
      <c r="B29" s="69" t="s">
        <v>134</v>
      </c>
      <c r="C29" s="132">
        <v>866</v>
      </c>
      <c r="D29" s="130">
        <v>644</v>
      </c>
      <c r="E29" s="130">
        <f t="shared" si="5"/>
        <v>222</v>
      </c>
      <c r="F29" s="125">
        <f t="shared" si="3"/>
        <v>1</v>
      </c>
      <c r="G29" s="134"/>
      <c r="H29" s="117"/>
    </row>
    <row r="30" spans="1:8" x14ac:dyDescent="0.25">
      <c r="A30" s="136">
        <f t="shared" si="2"/>
        <v>16</v>
      </c>
      <c r="B30" s="69" t="s">
        <v>135</v>
      </c>
      <c r="C30" s="132">
        <v>867</v>
      </c>
      <c r="D30" s="130">
        <v>479</v>
      </c>
      <c r="E30" s="130">
        <f t="shared" si="5"/>
        <v>388</v>
      </c>
      <c r="F30" s="125">
        <f t="shared" si="3"/>
        <v>1</v>
      </c>
      <c r="G30" s="134"/>
      <c r="H30" s="117"/>
    </row>
    <row r="31" spans="1:8" ht="31.5" x14ac:dyDescent="0.25">
      <c r="A31" s="136">
        <f t="shared" si="2"/>
        <v>17</v>
      </c>
      <c r="B31" s="69" t="s">
        <v>136</v>
      </c>
      <c r="C31" s="132">
        <v>1154</v>
      </c>
      <c r="D31" s="130">
        <v>1000</v>
      </c>
      <c r="E31" s="130">
        <f t="shared" si="5"/>
        <v>154</v>
      </c>
      <c r="F31" s="125">
        <f t="shared" si="3"/>
        <v>1</v>
      </c>
      <c r="G31" s="134"/>
      <c r="H31" s="117"/>
    </row>
    <row r="32" spans="1:8" x14ac:dyDescent="0.25">
      <c r="A32" s="136">
        <f t="shared" si="2"/>
        <v>18</v>
      </c>
      <c r="B32" s="69" t="s">
        <v>137</v>
      </c>
      <c r="C32" s="132">
        <v>939</v>
      </c>
      <c r="D32" s="130">
        <v>620</v>
      </c>
      <c r="E32" s="130">
        <f t="shared" si="5"/>
        <v>319</v>
      </c>
      <c r="F32" s="125">
        <f t="shared" si="3"/>
        <v>1</v>
      </c>
      <c r="G32" s="134"/>
      <c r="H32" s="117"/>
    </row>
    <row r="33" spans="1:8" ht="31.5" x14ac:dyDescent="0.25">
      <c r="A33" s="136">
        <f t="shared" si="2"/>
        <v>19</v>
      </c>
      <c r="B33" s="69" t="s">
        <v>138</v>
      </c>
      <c r="C33" s="132">
        <v>314</v>
      </c>
      <c r="D33" s="130">
        <v>70</v>
      </c>
      <c r="E33" s="130">
        <f t="shared" si="5"/>
        <v>244</v>
      </c>
      <c r="F33" s="125">
        <f t="shared" si="3"/>
        <v>1</v>
      </c>
      <c r="G33" s="134"/>
      <c r="H33" s="117"/>
    </row>
    <row r="34" spans="1:8" ht="31.5" x14ac:dyDescent="0.25">
      <c r="A34" s="136">
        <f t="shared" si="2"/>
        <v>20</v>
      </c>
      <c r="B34" s="69" t="s">
        <v>139</v>
      </c>
      <c r="C34" s="132">
        <v>200</v>
      </c>
      <c r="D34" s="130">
        <v>200</v>
      </c>
      <c r="E34" s="130">
        <f t="shared" si="5"/>
        <v>0</v>
      </c>
      <c r="F34" s="125">
        <f t="shared" si="3"/>
        <v>1</v>
      </c>
      <c r="G34" s="134"/>
      <c r="H34" s="117"/>
    </row>
    <row r="35" spans="1:8" ht="47.25" x14ac:dyDescent="0.25">
      <c r="A35" s="136">
        <f t="shared" si="2"/>
        <v>21</v>
      </c>
      <c r="B35" s="69" t="s">
        <v>140</v>
      </c>
      <c r="C35" s="130">
        <v>109.350934</v>
      </c>
      <c r="D35" s="130">
        <v>80.975470000000001</v>
      </c>
      <c r="E35" s="130">
        <f t="shared" si="5"/>
        <v>28.375463999999994</v>
      </c>
      <c r="F35" s="125">
        <f t="shared" si="3"/>
        <v>1</v>
      </c>
      <c r="G35" s="134"/>
      <c r="H35" s="117"/>
    </row>
    <row r="36" spans="1:8" x14ac:dyDescent="0.25">
      <c r="A36" s="136">
        <f t="shared" si="2"/>
        <v>22</v>
      </c>
      <c r="B36" s="69" t="s">
        <v>141</v>
      </c>
      <c r="C36" s="132"/>
      <c r="D36" s="130"/>
      <c r="E36" s="130"/>
      <c r="F36" s="125"/>
      <c r="G36" s="134"/>
      <c r="H36" s="117"/>
    </row>
    <row r="37" spans="1:8" ht="31.5" x14ac:dyDescent="0.25">
      <c r="A37" s="136">
        <f t="shared" si="2"/>
        <v>23</v>
      </c>
      <c r="B37" s="69" t="s">
        <v>142</v>
      </c>
      <c r="C37" s="130">
        <v>674.02061855670104</v>
      </c>
      <c r="D37" s="130">
        <v>350</v>
      </c>
      <c r="E37" s="130">
        <f>+C37-D37</f>
        <v>324.02061855670104</v>
      </c>
      <c r="F37" s="125">
        <f t="shared" ref="F37:F48" si="6">+(D37+E37)/C37</f>
        <v>1</v>
      </c>
      <c r="G37" s="134"/>
      <c r="H37" s="117"/>
    </row>
    <row r="38" spans="1:8" ht="31.5" x14ac:dyDescent="0.25">
      <c r="A38" s="136">
        <f t="shared" si="2"/>
        <v>24</v>
      </c>
      <c r="B38" s="69" t="s">
        <v>143</v>
      </c>
      <c r="C38" s="130">
        <v>1925.7731958762888</v>
      </c>
      <c r="D38" s="130">
        <v>1000</v>
      </c>
      <c r="E38" s="130">
        <f>+C38-D38</f>
        <v>925.77319587628881</v>
      </c>
      <c r="F38" s="125">
        <f t="shared" si="6"/>
        <v>1</v>
      </c>
      <c r="G38" s="134"/>
      <c r="H38" s="117"/>
    </row>
    <row r="39" spans="1:8" x14ac:dyDescent="0.25">
      <c r="A39" s="136">
        <f t="shared" si="2"/>
        <v>25</v>
      </c>
      <c r="B39" s="69" t="s">
        <v>144</v>
      </c>
      <c r="C39" s="130">
        <v>337.01030927835052</v>
      </c>
      <c r="D39" s="130">
        <v>210</v>
      </c>
      <c r="E39" s="130">
        <f>+C39-D39</f>
        <v>127.01030927835052</v>
      </c>
      <c r="F39" s="125">
        <f t="shared" si="6"/>
        <v>1</v>
      </c>
      <c r="G39" s="134"/>
      <c r="H39" s="117"/>
    </row>
    <row r="40" spans="1:8" ht="31.5" x14ac:dyDescent="0.25">
      <c r="A40" s="136">
        <f t="shared" si="2"/>
        <v>26</v>
      </c>
      <c r="B40" s="69" t="s">
        <v>145</v>
      </c>
      <c r="C40" s="130">
        <v>2603.0213970560226</v>
      </c>
      <c r="D40" s="130"/>
      <c r="E40" s="130">
        <v>2056.3869036742581</v>
      </c>
      <c r="F40" s="125">
        <f t="shared" si="6"/>
        <v>0.79</v>
      </c>
      <c r="G40" s="134">
        <f t="shared" ref="G40:G58" si="7">+C40-D40-E40</f>
        <v>546.63449338176451</v>
      </c>
      <c r="H40" s="117"/>
    </row>
    <row r="41" spans="1:8" x14ac:dyDescent="0.25">
      <c r="A41" s="136">
        <f t="shared" si="2"/>
        <v>27</v>
      </c>
      <c r="B41" s="69" t="s">
        <v>146</v>
      </c>
      <c r="C41" s="130">
        <v>2761.7794053714574</v>
      </c>
      <c r="D41" s="130"/>
      <c r="E41" s="130">
        <v>2181.8057302434513</v>
      </c>
      <c r="F41" s="125">
        <f t="shared" si="6"/>
        <v>0.79</v>
      </c>
      <c r="G41" s="134">
        <f t="shared" si="7"/>
        <v>579.97367512800611</v>
      </c>
      <c r="H41" s="117"/>
    </row>
    <row r="42" spans="1:8" x14ac:dyDescent="0.25">
      <c r="A42" s="136">
        <f t="shared" si="2"/>
        <v>28</v>
      </c>
      <c r="B42" s="69" t="s">
        <v>147</v>
      </c>
      <c r="C42" s="130">
        <v>1520.7836340469214</v>
      </c>
      <c r="D42" s="130"/>
      <c r="E42" s="130">
        <v>1201.419070897068</v>
      </c>
      <c r="F42" s="125">
        <f t="shared" si="6"/>
        <v>0.79</v>
      </c>
      <c r="G42" s="134">
        <f t="shared" si="7"/>
        <v>319.36456314985344</v>
      </c>
      <c r="H42" s="117"/>
    </row>
    <row r="43" spans="1:8" x14ac:dyDescent="0.25">
      <c r="A43" s="136">
        <f t="shared" si="2"/>
        <v>29</v>
      </c>
      <c r="B43" s="69" t="s">
        <v>148</v>
      </c>
      <c r="C43" s="130">
        <v>1046.026110148792</v>
      </c>
      <c r="D43" s="130"/>
      <c r="E43" s="130">
        <v>826.36062701754565</v>
      </c>
      <c r="F43" s="125">
        <f t="shared" si="6"/>
        <v>0.79</v>
      </c>
      <c r="G43" s="134">
        <f t="shared" si="7"/>
        <v>219.66548313124633</v>
      </c>
      <c r="H43" s="117"/>
    </row>
    <row r="44" spans="1:8" x14ac:dyDescent="0.25">
      <c r="A44" s="136">
        <f t="shared" si="2"/>
        <v>30</v>
      </c>
      <c r="B44" s="69" t="s">
        <v>149</v>
      </c>
      <c r="C44" s="130">
        <v>550</v>
      </c>
      <c r="D44" s="130"/>
      <c r="E44" s="130">
        <v>434.5</v>
      </c>
      <c r="F44" s="125">
        <f t="shared" si="6"/>
        <v>0.79</v>
      </c>
      <c r="G44" s="134">
        <f t="shared" si="7"/>
        <v>115.5</v>
      </c>
      <c r="H44" s="117"/>
    </row>
    <row r="45" spans="1:8" x14ac:dyDescent="0.25">
      <c r="A45" s="136">
        <f t="shared" si="2"/>
        <v>31</v>
      </c>
      <c r="B45" s="69" t="s">
        <v>150</v>
      </c>
      <c r="C45" s="130">
        <v>1863.3136726318428</v>
      </c>
      <c r="D45" s="130"/>
      <c r="E45" s="130">
        <v>1472.0178013791558</v>
      </c>
      <c r="F45" s="125">
        <f t="shared" si="6"/>
        <v>0.79</v>
      </c>
      <c r="G45" s="134">
        <f t="shared" si="7"/>
        <v>391.29587125268699</v>
      </c>
      <c r="H45" s="117"/>
    </row>
    <row r="46" spans="1:8" x14ac:dyDescent="0.25">
      <c r="A46" s="136">
        <f t="shared" si="2"/>
        <v>32</v>
      </c>
      <c r="B46" s="69" t="s">
        <v>151</v>
      </c>
      <c r="C46" s="130">
        <v>2574.2551543635605</v>
      </c>
      <c r="D46" s="130"/>
      <c r="E46" s="130">
        <v>2033.6615719472129</v>
      </c>
      <c r="F46" s="125">
        <f t="shared" si="6"/>
        <v>0.79</v>
      </c>
      <c r="G46" s="134">
        <f t="shared" si="7"/>
        <v>540.59358241634754</v>
      </c>
      <c r="H46" s="117"/>
    </row>
    <row r="47" spans="1:8" x14ac:dyDescent="0.25">
      <c r="A47" s="136">
        <f t="shared" si="2"/>
        <v>33</v>
      </c>
      <c r="B47" s="69" t="s">
        <v>152</v>
      </c>
      <c r="C47" s="130">
        <v>2733</v>
      </c>
      <c r="D47" s="130"/>
      <c r="E47" s="130">
        <v>2159.0700000000002</v>
      </c>
      <c r="F47" s="125">
        <f t="shared" si="6"/>
        <v>0.79</v>
      </c>
      <c r="G47" s="134">
        <f t="shared" si="7"/>
        <v>573.92999999999984</v>
      </c>
      <c r="H47" s="117"/>
    </row>
    <row r="48" spans="1:8" s="114" customFormat="1" x14ac:dyDescent="0.25">
      <c r="A48" s="106" t="s">
        <v>32</v>
      </c>
      <c r="B48" s="137" t="s">
        <v>153</v>
      </c>
      <c r="C48" s="133">
        <f>SUM(C50:C65)</f>
        <v>4581.3716979999999</v>
      </c>
      <c r="D48" s="133">
        <f t="shared" ref="D48:E48" si="8">SUM(D50:D65)</f>
        <v>3413.24</v>
      </c>
      <c r="E48" s="133">
        <f t="shared" si="8"/>
        <v>168.18099999999998</v>
      </c>
      <c r="F48" s="124">
        <f t="shared" si="6"/>
        <v>0.7817355229141244</v>
      </c>
      <c r="G48" s="135">
        <f t="shared" si="7"/>
        <v>999.9506980000001</v>
      </c>
      <c r="H48" s="112"/>
    </row>
    <row r="49" spans="1:9" s="114" customFormat="1" x14ac:dyDescent="0.25">
      <c r="A49" s="106"/>
      <c r="B49" s="137" t="s">
        <v>154</v>
      </c>
      <c r="C49" s="131"/>
      <c r="D49" s="131"/>
      <c r="E49" s="131"/>
      <c r="F49" s="125"/>
      <c r="G49" s="134">
        <f t="shared" si="7"/>
        <v>0</v>
      </c>
      <c r="H49" s="112"/>
    </row>
    <row r="50" spans="1:9" ht="31.5" x14ac:dyDescent="0.25">
      <c r="A50" s="136">
        <v>1</v>
      </c>
      <c r="B50" s="69" t="s">
        <v>155</v>
      </c>
      <c r="C50" s="130">
        <v>86.375</v>
      </c>
      <c r="D50" s="130">
        <v>68.134</v>
      </c>
      <c r="E50" s="130"/>
      <c r="F50" s="125">
        <f>+(D50+E50)/C50</f>
        <v>0.78881620839363242</v>
      </c>
      <c r="G50" s="134">
        <f t="shared" si="7"/>
        <v>18.241</v>
      </c>
      <c r="H50" s="50"/>
    </row>
    <row r="51" spans="1:9" ht="31.5" x14ac:dyDescent="0.25">
      <c r="A51" s="136">
        <f t="shared" ref="A51:A60" si="9">+A50+1</f>
        <v>2</v>
      </c>
      <c r="B51" s="69" t="s">
        <v>116</v>
      </c>
      <c r="C51" s="130">
        <v>25</v>
      </c>
      <c r="D51" s="130"/>
      <c r="E51" s="130"/>
      <c r="F51" s="125"/>
      <c r="G51" s="134">
        <f t="shared" si="7"/>
        <v>25</v>
      </c>
      <c r="H51" s="50"/>
    </row>
    <row r="52" spans="1:9" ht="31.5" x14ac:dyDescent="0.25">
      <c r="A52" s="136">
        <f t="shared" si="9"/>
        <v>3</v>
      </c>
      <c r="B52" s="69" t="s">
        <v>156</v>
      </c>
      <c r="C52" s="130">
        <v>107</v>
      </c>
      <c r="D52" s="130"/>
      <c r="E52" s="130"/>
      <c r="F52" s="125"/>
      <c r="G52" s="134">
        <f t="shared" si="7"/>
        <v>107</v>
      </c>
      <c r="H52" s="50"/>
    </row>
    <row r="53" spans="1:9" ht="31.5" x14ac:dyDescent="0.25">
      <c r="A53" s="136">
        <f t="shared" si="9"/>
        <v>4</v>
      </c>
      <c r="B53" s="69" t="s">
        <v>157</v>
      </c>
      <c r="C53" s="130">
        <v>28</v>
      </c>
      <c r="D53" s="130"/>
      <c r="E53" s="130"/>
      <c r="F53" s="125"/>
      <c r="G53" s="134">
        <f t="shared" si="7"/>
        <v>28</v>
      </c>
      <c r="H53" s="50"/>
    </row>
    <row r="54" spans="1:9" ht="31.5" x14ac:dyDescent="0.25">
      <c r="A54" s="136">
        <f t="shared" si="9"/>
        <v>5</v>
      </c>
      <c r="B54" s="69" t="s">
        <v>158</v>
      </c>
      <c r="C54" s="130">
        <v>8</v>
      </c>
      <c r="D54" s="130"/>
      <c r="E54" s="130"/>
      <c r="F54" s="125"/>
      <c r="G54" s="134">
        <f t="shared" si="7"/>
        <v>8</v>
      </c>
      <c r="H54" s="50"/>
    </row>
    <row r="55" spans="1:9" ht="31.5" x14ac:dyDescent="0.25">
      <c r="A55" s="136">
        <f t="shared" si="9"/>
        <v>6</v>
      </c>
      <c r="B55" s="69" t="s">
        <v>159</v>
      </c>
      <c r="C55" s="130">
        <v>26.661670000000001</v>
      </c>
      <c r="D55" s="130"/>
      <c r="E55" s="130"/>
      <c r="F55" s="125"/>
      <c r="G55" s="134">
        <f t="shared" si="7"/>
        <v>26.661670000000001</v>
      </c>
      <c r="H55" s="50"/>
    </row>
    <row r="56" spans="1:9" ht="31.5" x14ac:dyDescent="0.25">
      <c r="A56" s="136">
        <f t="shared" si="9"/>
        <v>7</v>
      </c>
      <c r="B56" s="69" t="s">
        <v>160</v>
      </c>
      <c r="C56" s="130">
        <v>45</v>
      </c>
      <c r="D56" s="130"/>
      <c r="E56" s="130"/>
      <c r="F56" s="125"/>
      <c r="G56" s="134">
        <f t="shared" si="7"/>
        <v>45</v>
      </c>
      <c r="H56" s="50"/>
    </row>
    <row r="57" spans="1:9" ht="31.5" x14ac:dyDescent="0.25">
      <c r="A57" s="136">
        <f t="shared" si="9"/>
        <v>8</v>
      </c>
      <c r="B57" s="69" t="s">
        <v>161</v>
      </c>
      <c r="C57" s="130">
        <v>3.908191</v>
      </c>
      <c r="D57" s="130"/>
      <c r="E57" s="130"/>
      <c r="F57" s="125"/>
      <c r="G57" s="134">
        <f t="shared" si="7"/>
        <v>3.908191</v>
      </c>
      <c r="H57" s="50"/>
    </row>
    <row r="58" spans="1:9" ht="31.5" x14ac:dyDescent="0.25">
      <c r="A58" s="136">
        <f t="shared" si="9"/>
        <v>9</v>
      </c>
      <c r="B58" s="69" t="s">
        <v>162</v>
      </c>
      <c r="C58" s="130">
        <v>6.679837</v>
      </c>
      <c r="D58" s="130"/>
      <c r="E58" s="130"/>
      <c r="F58" s="125"/>
      <c r="G58" s="134">
        <f t="shared" si="7"/>
        <v>6.679837</v>
      </c>
      <c r="H58" s="50"/>
    </row>
    <row r="59" spans="1:9" ht="31.5" x14ac:dyDescent="0.25">
      <c r="A59" s="136">
        <f t="shared" si="9"/>
        <v>10</v>
      </c>
      <c r="B59" s="69" t="s">
        <v>163</v>
      </c>
      <c r="C59" s="130">
        <v>8.8000000000000007</v>
      </c>
      <c r="D59" s="130">
        <v>8.8000000000000007</v>
      </c>
      <c r="E59" s="130"/>
      <c r="F59" s="125">
        <f>+(D59+E59)/C59</f>
        <v>1</v>
      </c>
      <c r="G59" s="134"/>
      <c r="H59" s="117"/>
    </row>
    <row r="60" spans="1:9" ht="31.5" x14ac:dyDescent="0.25">
      <c r="A60" s="136">
        <f t="shared" si="9"/>
        <v>11</v>
      </c>
      <c r="B60" s="69" t="s">
        <v>124</v>
      </c>
      <c r="C60" s="130">
        <v>0.39100000000000001</v>
      </c>
      <c r="D60" s="130">
        <v>0.39100000000000001</v>
      </c>
      <c r="E60" s="130"/>
      <c r="F60" s="125">
        <f>+(D60+E60)/C60</f>
        <v>1</v>
      </c>
      <c r="G60" s="134"/>
      <c r="H60" s="117"/>
    </row>
    <row r="61" spans="1:9" ht="31.5" x14ac:dyDescent="0.25">
      <c r="A61" s="136">
        <f>+A60+1</f>
        <v>12</v>
      </c>
      <c r="B61" s="69" t="s">
        <v>164</v>
      </c>
      <c r="C61" s="130">
        <v>507</v>
      </c>
      <c r="D61" s="130">
        <v>338.81900000000002</v>
      </c>
      <c r="E61" s="130">
        <f t="shared" ref="E61" si="10">+C61-D61</f>
        <v>168.18099999999998</v>
      </c>
      <c r="F61" s="125">
        <f>+(D61+E61)/C61</f>
        <v>1</v>
      </c>
      <c r="G61" s="134"/>
      <c r="H61" s="117"/>
    </row>
    <row r="62" spans="1:9" s="114" customFormat="1" x14ac:dyDescent="0.25">
      <c r="A62" s="106"/>
      <c r="B62" s="53" t="s">
        <v>120</v>
      </c>
      <c r="C62" s="130"/>
      <c r="D62" s="131"/>
      <c r="E62" s="131"/>
      <c r="F62" s="125"/>
      <c r="G62" s="134"/>
      <c r="H62" s="112"/>
    </row>
    <row r="63" spans="1:9" x14ac:dyDescent="0.25">
      <c r="A63" s="136">
        <f>+A61+1</f>
        <v>13</v>
      </c>
      <c r="B63" s="69" t="s">
        <v>165</v>
      </c>
      <c r="C63" s="130">
        <v>1656.3320000000001</v>
      </c>
      <c r="D63" s="130">
        <v>1345.5319</v>
      </c>
      <c r="E63" s="130"/>
      <c r="F63" s="125">
        <f>+(D63+E63)/C63</f>
        <v>0.81235639956240646</v>
      </c>
      <c r="G63" s="134">
        <f>+C63-D63-E63</f>
        <v>310.80010000000016</v>
      </c>
      <c r="H63" s="50"/>
      <c r="I63" s="121"/>
    </row>
    <row r="64" spans="1:9" ht="31.5" x14ac:dyDescent="0.25">
      <c r="A64" s="136">
        <f>+A63+1</f>
        <v>14</v>
      </c>
      <c r="B64" s="69" t="s">
        <v>166</v>
      </c>
      <c r="C64" s="130">
        <v>1796.2239999999999</v>
      </c>
      <c r="D64" s="130">
        <v>1651.5641000000001</v>
      </c>
      <c r="E64" s="130"/>
      <c r="F64" s="125">
        <f>+(D64+E64)/C64</f>
        <v>0.91946444318748666</v>
      </c>
      <c r="G64" s="134">
        <f>+C64-D64-E64</f>
        <v>144.65989999999988</v>
      </c>
      <c r="H64" s="117"/>
    </row>
    <row r="65" spans="1:8" ht="31.5" x14ac:dyDescent="0.25">
      <c r="A65" s="136">
        <f t="shared" ref="A65" si="11">+A64+1</f>
        <v>15</v>
      </c>
      <c r="B65" s="69" t="s">
        <v>167</v>
      </c>
      <c r="C65" s="130">
        <v>276</v>
      </c>
      <c r="D65" s="130"/>
      <c r="E65" s="130"/>
      <c r="F65" s="125"/>
      <c r="G65" s="134">
        <f>+C65-D65-E65</f>
        <v>276</v>
      </c>
      <c r="H65" s="117"/>
    </row>
  </sheetData>
  <mergeCells count="2">
    <mergeCell ref="A2:H2"/>
    <mergeCell ref="A1:H1"/>
  </mergeCells>
  <printOptions horizontalCentered="1"/>
  <pageMargins left="0.47244094488188981" right="0.35433070866141736" top="0.47244094488188981" bottom="0.35433070866141736" header="0.31496062992125984" footer="0.31496062992125984"/>
  <pageSetup paperSize="9" scale="84" orientation="landscape"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A4B0-6379-4BA0-9778-1F0C479F8750}">
  <dimension ref="A1:K66"/>
  <sheetViews>
    <sheetView tabSelected="1" view="pageBreakPreview" zoomScaleNormal="100" zoomScaleSheetLayoutView="100" workbookViewId="0">
      <selection activeCell="A2" sqref="A2:H2"/>
    </sheetView>
  </sheetViews>
  <sheetFormatPr defaultRowHeight="15.75" x14ac:dyDescent="0.25"/>
  <cols>
    <col min="1" max="1" width="6.28515625" style="122" customWidth="1"/>
    <col min="2" max="2" width="64" style="118" customWidth="1"/>
    <col min="3" max="3" width="15" style="118" customWidth="1"/>
    <col min="4" max="4" width="11.85546875" style="118" customWidth="1"/>
    <col min="5" max="6" width="15.42578125" style="118" customWidth="1"/>
    <col min="7" max="7" width="13.7109375" style="118" customWidth="1"/>
    <col min="8" max="8" width="22.42578125" style="118" customWidth="1"/>
    <col min="9" max="9" width="10.42578125" style="118" bestFit="1" customWidth="1"/>
    <col min="10" max="10" width="9.140625" style="118"/>
    <col min="11" max="11" width="10.7109375" style="118" bestFit="1" customWidth="1"/>
    <col min="12" max="16384" width="9.140625" style="118"/>
  </cols>
  <sheetData>
    <row r="1" spans="1:11" x14ac:dyDescent="0.25">
      <c r="H1" s="150" t="s">
        <v>177</v>
      </c>
    </row>
    <row r="2" spans="1:11" ht="18.75" x14ac:dyDescent="0.3">
      <c r="A2" s="168" t="s">
        <v>175</v>
      </c>
      <c r="B2" s="168"/>
      <c r="C2" s="168"/>
      <c r="D2" s="168"/>
      <c r="E2" s="168"/>
      <c r="F2" s="168"/>
      <c r="G2" s="168"/>
      <c r="H2" s="168"/>
    </row>
    <row r="3" spans="1:11" ht="18.75" x14ac:dyDescent="0.3">
      <c r="A3" s="169" t="s">
        <v>176</v>
      </c>
      <c r="B3" s="169"/>
      <c r="C3" s="169"/>
      <c r="D3" s="169"/>
      <c r="E3" s="169"/>
      <c r="F3" s="169"/>
      <c r="G3" s="169"/>
      <c r="H3" s="169"/>
    </row>
    <row r="5" spans="1:11" s="107" customFormat="1" ht="94.5" x14ac:dyDescent="0.25">
      <c r="A5" s="106" t="s">
        <v>107</v>
      </c>
      <c r="B5" s="106" t="s">
        <v>108</v>
      </c>
      <c r="C5" s="46" t="s">
        <v>169</v>
      </c>
      <c r="D5" s="46" t="s">
        <v>109</v>
      </c>
      <c r="E5" s="46" t="s">
        <v>110</v>
      </c>
      <c r="F5" s="46" t="s">
        <v>168</v>
      </c>
      <c r="G5" s="46" t="s">
        <v>171</v>
      </c>
      <c r="H5" s="46" t="s">
        <v>111</v>
      </c>
    </row>
    <row r="6" spans="1:11" s="107" customFormat="1" x14ac:dyDescent="0.25">
      <c r="A6" s="106"/>
      <c r="B6" s="106" t="s">
        <v>36</v>
      </c>
      <c r="C6" s="128">
        <f>+C7+C49</f>
        <v>45557</v>
      </c>
      <c r="D6" s="128">
        <f>+D7+D49</f>
        <v>14503.300469999998</v>
      </c>
      <c r="E6" s="128">
        <f>+E7+E49</f>
        <v>19665</v>
      </c>
      <c r="F6" s="124">
        <f>+(D6+E6)/C6</f>
        <v>0.75001208310468204</v>
      </c>
      <c r="G6" s="128">
        <f>+G7+G49</f>
        <v>5612.6866628413072</v>
      </c>
      <c r="H6" s="124">
        <f>+(D6+E6+G6)/C6</f>
        <v>0.87321349370769163</v>
      </c>
      <c r="I6" s="123"/>
      <c r="J6" s="110"/>
    </row>
    <row r="7" spans="1:11" s="114" customFormat="1" x14ac:dyDescent="0.25">
      <c r="A7" s="106" t="s">
        <v>2</v>
      </c>
      <c r="B7" s="53" t="s">
        <v>112</v>
      </c>
      <c r="C7" s="129">
        <f>SUM(C9:C48)</f>
        <v>40975.628301999997</v>
      </c>
      <c r="D7" s="129">
        <f t="shared" ref="D7" si="0">SUM(D9:D48)</f>
        <v>11090.060469999999</v>
      </c>
      <c r="E7" s="129">
        <f>SUM(E9:E48)</f>
        <v>19496.819</v>
      </c>
      <c r="F7" s="124">
        <f>+(D7+E7)/C7</f>
        <v>0.74646517301864224</v>
      </c>
      <c r="G7" s="128">
        <f>SUM(G9:G48)</f>
        <v>4881.2266628413072</v>
      </c>
      <c r="H7" s="112"/>
      <c r="I7" s="113"/>
      <c r="K7" s="115"/>
    </row>
    <row r="8" spans="1:11" s="114" customFormat="1" x14ac:dyDescent="0.25">
      <c r="A8" s="106"/>
      <c r="B8" s="53" t="s">
        <v>113</v>
      </c>
      <c r="C8" s="126"/>
      <c r="D8" s="127"/>
      <c r="E8" s="127"/>
      <c r="F8" s="125"/>
      <c r="G8" s="116">
        <f>+C8-D8-E8</f>
        <v>0</v>
      </c>
      <c r="H8" s="112"/>
      <c r="I8" s="113"/>
    </row>
    <row r="9" spans="1:11" ht="31.5" x14ac:dyDescent="0.25">
      <c r="A9" s="136">
        <v>1</v>
      </c>
      <c r="B9" s="69" t="s">
        <v>114</v>
      </c>
      <c r="C9" s="130">
        <v>1200</v>
      </c>
      <c r="D9" s="130">
        <v>1199.998</v>
      </c>
      <c r="E9" s="130"/>
      <c r="F9" s="125">
        <f>+(D9+E9)/C9</f>
        <v>0.99999833333333332</v>
      </c>
      <c r="G9" s="134"/>
      <c r="H9" s="117"/>
    </row>
    <row r="10" spans="1:11" ht="31.5" x14ac:dyDescent="0.25">
      <c r="A10" s="136">
        <f>+A9+1</f>
        <v>2</v>
      </c>
      <c r="B10" s="69" t="s">
        <v>115</v>
      </c>
      <c r="C10" s="130">
        <v>191.13599438140227</v>
      </c>
      <c r="D10" s="130"/>
      <c r="E10" s="130"/>
      <c r="F10" s="125"/>
      <c r="G10" s="134">
        <f t="shared" ref="G10:G17" si="1">+C10-D10-E10</f>
        <v>191.13599438140227</v>
      </c>
      <c r="H10" s="50"/>
      <c r="J10" s="119"/>
    </row>
    <row r="11" spans="1:11" ht="31.5" x14ac:dyDescent="0.25">
      <c r="A11" s="136">
        <f t="shared" ref="A11:A48" si="2">+A10+1</f>
        <v>3</v>
      </c>
      <c r="B11" s="69" t="s">
        <v>116</v>
      </c>
      <c r="C11" s="130">
        <v>19</v>
      </c>
      <c r="D11" s="130"/>
      <c r="E11" s="130"/>
      <c r="F11" s="125"/>
      <c r="G11" s="134">
        <f t="shared" si="1"/>
        <v>19</v>
      </c>
      <c r="H11" s="50"/>
    </row>
    <row r="12" spans="1:11" ht="31.5" x14ac:dyDescent="0.25">
      <c r="A12" s="136">
        <f t="shared" si="2"/>
        <v>4</v>
      </c>
      <c r="B12" s="69" t="s">
        <v>117</v>
      </c>
      <c r="C12" s="130">
        <v>2</v>
      </c>
      <c r="D12" s="130"/>
      <c r="E12" s="130"/>
      <c r="F12" s="125"/>
      <c r="G12" s="134">
        <f t="shared" si="1"/>
        <v>2</v>
      </c>
      <c r="H12" s="50"/>
    </row>
    <row r="13" spans="1:11" ht="31.5" x14ac:dyDescent="0.25">
      <c r="A13" s="136">
        <f t="shared" si="2"/>
        <v>5</v>
      </c>
      <c r="B13" s="69" t="s">
        <v>118</v>
      </c>
      <c r="C13" s="130">
        <f>459+140.44</f>
        <v>599.44000000000005</v>
      </c>
      <c r="D13" s="130">
        <v>355.37599999999998</v>
      </c>
      <c r="E13" s="130"/>
      <c r="F13" s="125">
        <f>+(D13+E13)/C13</f>
        <v>0.59284665687975435</v>
      </c>
      <c r="G13" s="134">
        <f t="shared" si="1"/>
        <v>244.06400000000008</v>
      </c>
      <c r="H13" s="50"/>
    </row>
    <row r="14" spans="1:11" x14ac:dyDescent="0.25">
      <c r="A14" s="136">
        <f t="shared" si="2"/>
        <v>6</v>
      </c>
      <c r="B14" s="69" t="s">
        <v>119</v>
      </c>
      <c r="C14" s="130">
        <v>78</v>
      </c>
      <c r="D14" s="130"/>
      <c r="E14" s="130"/>
      <c r="F14" s="125"/>
      <c r="G14" s="134">
        <f t="shared" si="1"/>
        <v>78</v>
      </c>
      <c r="H14" s="50"/>
    </row>
    <row r="15" spans="1:11" s="114" customFormat="1" x14ac:dyDescent="0.25">
      <c r="A15" s="106"/>
      <c r="B15" s="53" t="s">
        <v>120</v>
      </c>
      <c r="C15" s="130"/>
      <c r="D15" s="131"/>
      <c r="E15" s="130"/>
      <c r="F15" s="125"/>
      <c r="G15" s="134">
        <f t="shared" si="1"/>
        <v>0</v>
      </c>
      <c r="H15" s="50"/>
    </row>
    <row r="16" spans="1:11" ht="47.25" x14ac:dyDescent="0.25">
      <c r="A16" s="136">
        <f>+A14+1</f>
        <v>7</v>
      </c>
      <c r="B16" s="69" t="s">
        <v>121</v>
      </c>
      <c r="C16" s="130">
        <v>786</v>
      </c>
      <c r="D16" s="130"/>
      <c r="E16" s="130"/>
      <c r="F16" s="125"/>
      <c r="G16" s="134">
        <f t="shared" si="1"/>
        <v>786</v>
      </c>
      <c r="H16" s="50"/>
    </row>
    <row r="17" spans="1:8" ht="31.5" x14ac:dyDescent="0.25">
      <c r="A17" s="136">
        <f t="shared" si="2"/>
        <v>8</v>
      </c>
      <c r="B17" s="69" t="s">
        <v>122</v>
      </c>
      <c r="C17" s="130">
        <v>59</v>
      </c>
      <c r="D17" s="130"/>
      <c r="E17" s="130">
        <v>15.141999999999999</v>
      </c>
      <c r="F17" s="125"/>
      <c r="G17" s="134">
        <f t="shared" si="1"/>
        <v>43.858000000000004</v>
      </c>
      <c r="H17" s="50"/>
    </row>
    <row r="18" spans="1:8" x14ac:dyDescent="0.25">
      <c r="A18" s="136">
        <f t="shared" si="2"/>
        <v>9</v>
      </c>
      <c r="B18" s="69" t="s">
        <v>123</v>
      </c>
      <c r="C18" s="130">
        <v>984.56500000000005</v>
      </c>
      <c r="D18" s="130">
        <v>984.56500000000005</v>
      </c>
      <c r="E18" s="130"/>
      <c r="F18" s="125">
        <f>+(D18+E18)/C18</f>
        <v>1</v>
      </c>
      <c r="G18" s="134"/>
      <c r="H18" s="117"/>
    </row>
    <row r="19" spans="1:8" ht="31.5" x14ac:dyDescent="0.25">
      <c r="A19" s="136">
        <f t="shared" si="2"/>
        <v>10</v>
      </c>
      <c r="B19" s="69" t="s">
        <v>124</v>
      </c>
      <c r="C19" s="130">
        <v>181.95699999999999</v>
      </c>
      <c r="D19" s="130">
        <v>181.95699999999999</v>
      </c>
      <c r="E19" s="130"/>
      <c r="F19" s="125">
        <f>+(D19+E19)/C19</f>
        <v>1</v>
      </c>
      <c r="G19" s="134"/>
      <c r="H19" s="117"/>
    </row>
    <row r="20" spans="1:8" ht="31.5" x14ac:dyDescent="0.25">
      <c r="A20" s="136">
        <f t="shared" si="2"/>
        <v>11</v>
      </c>
      <c r="B20" s="69" t="s">
        <v>125</v>
      </c>
      <c r="C20" s="130">
        <v>500</v>
      </c>
      <c r="D20" s="130">
        <v>389.78899999999999</v>
      </c>
      <c r="E20" s="130"/>
      <c r="F20" s="125">
        <f>+(D20+E20)/C20</f>
        <v>0.77957799999999999</v>
      </c>
      <c r="G20" s="134">
        <f>+C20-D20-E20</f>
        <v>110.21100000000001</v>
      </c>
      <c r="H20" s="117"/>
    </row>
    <row r="21" spans="1:8" ht="78.75" x14ac:dyDescent="0.25">
      <c r="A21" s="136">
        <f t="shared" si="2"/>
        <v>12</v>
      </c>
      <c r="B21" s="69" t="s">
        <v>126</v>
      </c>
      <c r="C21" s="130">
        <v>8000</v>
      </c>
      <c r="D21" s="130"/>
      <c r="E21" s="130">
        <v>2492.4798308413083</v>
      </c>
      <c r="F21" s="125">
        <f>+(D21+E21)/C21</f>
        <v>0.31155997885516351</v>
      </c>
      <c r="G21" s="134"/>
      <c r="H21" s="120" t="s">
        <v>174</v>
      </c>
    </row>
    <row r="22" spans="1:8" ht="31.5" x14ac:dyDescent="0.25">
      <c r="A22" s="136">
        <f t="shared" si="2"/>
        <v>13</v>
      </c>
      <c r="B22" s="69" t="s">
        <v>15</v>
      </c>
      <c r="C22" s="130">
        <v>300</v>
      </c>
      <c r="D22" s="130">
        <v>230</v>
      </c>
      <c r="E22" s="130"/>
      <c r="F22" s="125">
        <f>+(D22+E22)/C22</f>
        <v>0.76666666666666672</v>
      </c>
      <c r="G22" s="134">
        <f>+C22-D22-E22</f>
        <v>70</v>
      </c>
      <c r="H22" s="117"/>
    </row>
    <row r="23" spans="1:8" s="114" customFormat="1" x14ac:dyDescent="0.25">
      <c r="A23" s="106"/>
      <c r="B23" s="53" t="s">
        <v>127</v>
      </c>
      <c r="C23" s="130"/>
      <c r="D23" s="131"/>
      <c r="E23" s="130"/>
      <c r="F23" s="125"/>
      <c r="G23" s="134"/>
      <c r="H23" s="112"/>
    </row>
    <row r="24" spans="1:8" ht="47.25" x14ac:dyDescent="0.25">
      <c r="A24" s="136">
        <f>+A22+1</f>
        <v>14</v>
      </c>
      <c r="B24" s="69" t="s">
        <v>128</v>
      </c>
      <c r="C24" s="130">
        <v>300</v>
      </c>
      <c r="D24" s="130">
        <v>145.80000000000001</v>
      </c>
      <c r="E24" s="130">
        <f>250-D24</f>
        <v>104.19999999999999</v>
      </c>
      <c r="F24" s="125">
        <f t="shared" ref="F24:F36" si="3">+(D24+E24)/C24</f>
        <v>0.83333333333333337</v>
      </c>
      <c r="G24" s="134">
        <f>+C24-D24-E24</f>
        <v>50</v>
      </c>
      <c r="H24" s="117"/>
    </row>
    <row r="25" spans="1:8" ht="31.5" x14ac:dyDescent="0.25">
      <c r="A25" s="136">
        <f t="shared" ref="A25:A26" si="4">+A24+1</f>
        <v>15</v>
      </c>
      <c r="B25" s="69" t="s">
        <v>129</v>
      </c>
      <c r="C25" s="132">
        <v>770.30927835051546</v>
      </c>
      <c r="D25" s="130">
        <v>533.70000000000005</v>
      </c>
      <c r="E25" s="130">
        <f t="shared" ref="E25:E36" si="5">+C25-D25</f>
        <v>236.60927835051541</v>
      </c>
      <c r="F25" s="125">
        <f t="shared" si="3"/>
        <v>1</v>
      </c>
      <c r="G25" s="134"/>
      <c r="H25" s="117"/>
    </row>
    <row r="26" spans="1:8" ht="31.5" x14ac:dyDescent="0.25">
      <c r="A26" s="136">
        <f t="shared" si="4"/>
        <v>16</v>
      </c>
      <c r="B26" s="69" t="s">
        <v>130</v>
      </c>
      <c r="C26" s="132">
        <v>962.8865979381444</v>
      </c>
      <c r="D26" s="130">
        <v>678.9</v>
      </c>
      <c r="E26" s="130">
        <f t="shared" si="5"/>
        <v>283.98659793814443</v>
      </c>
      <c r="F26" s="125">
        <f t="shared" si="3"/>
        <v>1</v>
      </c>
      <c r="G26" s="134"/>
      <c r="H26" s="117"/>
    </row>
    <row r="27" spans="1:8" ht="31.5" x14ac:dyDescent="0.25">
      <c r="A27" s="136">
        <f>+A20+1</f>
        <v>12</v>
      </c>
      <c r="B27" s="69" t="s">
        <v>131</v>
      </c>
      <c r="C27" s="132">
        <v>635</v>
      </c>
      <c r="D27" s="130">
        <v>476</v>
      </c>
      <c r="E27" s="130">
        <f t="shared" si="5"/>
        <v>159</v>
      </c>
      <c r="F27" s="125">
        <f t="shared" si="3"/>
        <v>1</v>
      </c>
      <c r="G27" s="134"/>
      <c r="H27" s="117"/>
    </row>
    <row r="28" spans="1:8" ht="31.5" x14ac:dyDescent="0.25">
      <c r="A28" s="136">
        <f t="shared" si="2"/>
        <v>13</v>
      </c>
      <c r="B28" s="69" t="s">
        <v>132</v>
      </c>
      <c r="C28" s="132">
        <v>1845</v>
      </c>
      <c r="D28" s="130">
        <v>1000</v>
      </c>
      <c r="E28" s="130">
        <f t="shared" si="5"/>
        <v>845</v>
      </c>
      <c r="F28" s="125">
        <f t="shared" si="3"/>
        <v>1</v>
      </c>
      <c r="G28" s="134"/>
      <c r="H28" s="117"/>
    </row>
    <row r="29" spans="1:8" x14ac:dyDescent="0.25">
      <c r="A29" s="136">
        <f t="shared" si="2"/>
        <v>14</v>
      </c>
      <c r="B29" s="69" t="s">
        <v>133</v>
      </c>
      <c r="C29" s="132">
        <v>523</v>
      </c>
      <c r="D29" s="130">
        <v>260</v>
      </c>
      <c r="E29" s="130">
        <f t="shared" si="5"/>
        <v>263</v>
      </c>
      <c r="F29" s="125">
        <f t="shared" si="3"/>
        <v>1</v>
      </c>
      <c r="G29" s="134"/>
      <c r="H29" s="117"/>
    </row>
    <row r="30" spans="1:8" ht="31.5" x14ac:dyDescent="0.25">
      <c r="A30" s="136">
        <f t="shared" si="2"/>
        <v>15</v>
      </c>
      <c r="B30" s="69" t="s">
        <v>134</v>
      </c>
      <c r="C30" s="132">
        <v>866</v>
      </c>
      <c r="D30" s="130">
        <v>644</v>
      </c>
      <c r="E30" s="130">
        <f t="shared" si="5"/>
        <v>222</v>
      </c>
      <c r="F30" s="125">
        <f t="shared" si="3"/>
        <v>1</v>
      </c>
      <c r="G30" s="134"/>
      <c r="H30" s="117"/>
    </row>
    <row r="31" spans="1:8" x14ac:dyDescent="0.25">
      <c r="A31" s="136">
        <f t="shared" si="2"/>
        <v>16</v>
      </c>
      <c r="B31" s="69" t="s">
        <v>135</v>
      </c>
      <c r="C31" s="132">
        <v>867</v>
      </c>
      <c r="D31" s="130">
        <v>479</v>
      </c>
      <c r="E31" s="130">
        <f t="shared" si="5"/>
        <v>388</v>
      </c>
      <c r="F31" s="125">
        <f t="shared" si="3"/>
        <v>1</v>
      </c>
      <c r="G31" s="134"/>
      <c r="H31" s="117"/>
    </row>
    <row r="32" spans="1:8" ht="31.5" x14ac:dyDescent="0.25">
      <c r="A32" s="136">
        <f t="shared" si="2"/>
        <v>17</v>
      </c>
      <c r="B32" s="69" t="s">
        <v>136</v>
      </c>
      <c r="C32" s="132">
        <v>1154</v>
      </c>
      <c r="D32" s="130">
        <v>1000</v>
      </c>
      <c r="E32" s="130">
        <f t="shared" si="5"/>
        <v>154</v>
      </c>
      <c r="F32" s="125">
        <f t="shared" si="3"/>
        <v>1</v>
      </c>
      <c r="G32" s="134"/>
      <c r="H32" s="117"/>
    </row>
    <row r="33" spans="1:8" x14ac:dyDescent="0.25">
      <c r="A33" s="136">
        <f t="shared" si="2"/>
        <v>18</v>
      </c>
      <c r="B33" s="69" t="s">
        <v>137</v>
      </c>
      <c r="C33" s="132">
        <v>939</v>
      </c>
      <c r="D33" s="130">
        <v>620</v>
      </c>
      <c r="E33" s="130">
        <f t="shared" si="5"/>
        <v>319</v>
      </c>
      <c r="F33" s="125">
        <f t="shared" si="3"/>
        <v>1</v>
      </c>
      <c r="G33" s="134"/>
      <c r="H33" s="117"/>
    </row>
    <row r="34" spans="1:8" ht="31.5" x14ac:dyDescent="0.25">
      <c r="A34" s="136">
        <f t="shared" si="2"/>
        <v>19</v>
      </c>
      <c r="B34" s="69" t="s">
        <v>138</v>
      </c>
      <c r="C34" s="132">
        <v>314</v>
      </c>
      <c r="D34" s="130">
        <v>70</v>
      </c>
      <c r="E34" s="130">
        <f t="shared" si="5"/>
        <v>244</v>
      </c>
      <c r="F34" s="125">
        <f t="shared" si="3"/>
        <v>1</v>
      </c>
      <c r="G34" s="134"/>
      <c r="H34" s="117"/>
    </row>
    <row r="35" spans="1:8" ht="31.5" x14ac:dyDescent="0.25">
      <c r="A35" s="136">
        <f t="shared" si="2"/>
        <v>20</v>
      </c>
      <c r="B35" s="69" t="s">
        <v>139</v>
      </c>
      <c r="C35" s="132">
        <v>200</v>
      </c>
      <c r="D35" s="130">
        <v>200</v>
      </c>
      <c r="E35" s="130">
        <f t="shared" si="5"/>
        <v>0</v>
      </c>
      <c r="F35" s="125">
        <f t="shared" si="3"/>
        <v>1</v>
      </c>
      <c r="G35" s="134"/>
      <c r="H35" s="117"/>
    </row>
    <row r="36" spans="1:8" ht="47.25" x14ac:dyDescent="0.25">
      <c r="A36" s="136">
        <f t="shared" si="2"/>
        <v>21</v>
      </c>
      <c r="B36" s="69" t="s">
        <v>140</v>
      </c>
      <c r="C36" s="130">
        <v>109.350934</v>
      </c>
      <c r="D36" s="130">
        <v>80.975470000000001</v>
      </c>
      <c r="E36" s="130">
        <f t="shared" si="5"/>
        <v>28.375463999999994</v>
      </c>
      <c r="F36" s="125">
        <f t="shared" si="3"/>
        <v>1</v>
      </c>
      <c r="G36" s="134"/>
      <c r="H36" s="117"/>
    </row>
    <row r="37" spans="1:8" x14ac:dyDescent="0.25">
      <c r="A37" s="136">
        <f t="shared" si="2"/>
        <v>22</v>
      </c>
      <c r="B37" s="69" t="s">
        <v>141</v>
      </c>
      <c r="C37" s="132"/>
      <c r="D37" s="130"/>
      <c r="E37" s="130"/>
      <c r="F37" s="125"/>
      <c r="G37" s="134"/>
      <c r="H37" s="117"/>
    </row>
    <row r="38" spans="1:8" ht="31.5" x14ac:dyDescent="0.25">
      <c r="A38" s="136">
        <f t="shared" si="2"/>
        <v>23</v>
      </c>
      <c r="B38" s="69" t="s">
        <v>142</v>
      </c>
      <c r="C38" s="130">
        <v>674.02061855670104</v>
      </c>
      <c r="D38" s="130">
        <v>350</v>
      </c>
      <c r="E38" s="130">
        <f>+C38-D38</f>
        <v>324.02061855670104</v>
      </c>
      <c r="F38" s="125">
        <f t="shared" ref="F38:F49" si="6">+(D38+E38)/C38</f>
        <v>1</v>
      </c>
      <c r="G38" s="134"/>
      <c r="H38" s="117"/>
    </row>
    <row r="39" spans="1:8" ht="31.5" x14ac:dyDescent="0.25">
      <c r="A39" s="136">
        <f t="shared" si="2"/>
        <v>24</v>
      </c>
      <c r="B39" s="69" t="s">
        <v>143</v>
      </c>
      <c r="C39" s="130">
        <v>1925.7731958762888</v>
      </c>
      <c r="D39" s="130">
        <v>1000</v>
      </c>
      <c r="E39" s="130">
        <f>+C39-D39</f>
        <v>925.77319587628881</v>
      </c>
      <c r="F39" s="125">
        <f t="shared" si="6"/>
        <v>1</v>
      </c>
      <c r="G39" s="134"/>
      <c r="H39" s="117"/>
    </row>
    <row r="40" spans="1:8" x14ac:dyDescent="0.25">
      <c r="A40" s="136">
        <f t="shared" si="2"/>
        <v>25</v>
      </c>
      <c r="B40" s="69" t="s">
        <v>144</v>
      </c>
      <c r="C40" s="130">
        <v>337.01030927835052</v>
      </c>
      <c r="D40" s="130">
        <v>210</v>
      </c>
      <c r="E40" s="130">
        <f>+C40-D40</f>
        <v>127.01030927835052</v>
      </c>
      <c r="F40" s="125">
        <f t="shared" si="6"/>
        <v>1</v>
      </c>
      <c r="G40" s="134"/>
      <c r="H40" s="117"/>
    </row>
    <row r="41" spans="1:8" ht="31.5" x14ac:dyDescent="0.25">
      <c r="A41" s="136">
        <f t="shared" si="2"/>
        <v>26</v>
      </c>
      <c r="B41" s="69" t="s">
        <v>145</v>
      </c>
      <c r="C41" s="130">
        <v>2603.0213970560226</v>
      </c>
      <c r="D41" s="130"/>
      <c r="E41" s="130">
        <v>2056.3869036742581</v>
      </c>
      <c r="F41" s="125">
        <f t="shared" si="6"/>
        <v>0.79</v>
      </c>
      <c r="G41" s="134">
        <f t="shared" ref="G41:G50" si="7">+C41-D41-E41</f>
        <v>546.63449338176451</v>
      </c>
      <c r="H41" s="117"/>
    </row>
    <row r="42" spans="1:8" x14ac:dyDescent="0.25">
      <c r="A42" s="136">
        <f t="shared" si="2"/>
        <v>27</v>
      </c>
      <c r="B42" s="69" t="s">
        <v>146</v>
      </c>
      <c r="C42" s="130">
        <v>2761.7794053714574</v>
      </c>
      <c r="D42" s="130"/>
      <c r="E42" s="130">
        <v>2181.8057302434513</v>
      </c>
      <c r="F42" s="125">
        <f t="shared" si="6"/>
        <v>0.79</v>
      </c>
      <c r="G42" s="134">
        <f t="shared" si="7"/>
        <v>579.97367512800611</v>
      </c>
      <c r="H42" s="117"/>
    </row>
    <row r="43" spans="1:8" x14ac:dyDescent="0.25">
      <c r="A43" s="136">
        <f t="shared" si="2"/>
        <v>28</v>
      </c>
      <c r="B43" s="69" t="s">
        <v>147</v>
      </c>
      <c r="C43" s="130">
        <v>1520.7836340469214</v>
      </c>
      <c r="D43" s="130"/>
      <c r="E43" s="130">
        <v>1201.419070897068</v>
      </c>
      <c r="F43" s="125">
        <f t="shared" si="6"/>
        <v>0.79</v>
      </c>
      <c r="G43" s="134">
        <f t="shared" si="7"/>
        <v>319.36456314985344</v>
      </c>
      <c r="H43" s="117"/>
    </row>
    <row r="44" spans="1:8" x14ac:dyDescent="0.25">
      <c r="A44" s="136">
        <f t="shared" si="2"/>
        <v>29</v>
      </c>
      <c r="B44" s="69" t="s">
        <v>148</v>
      </c>
      <c r="C44" s="130">
        <v>1046.026110148792</v>
      </c>
      <c r="D44" s="130"/>
      <c r="E44" s="130">
        <v>826.36062701754565</v>
      </c>
      <c r="F44" s="125">
        <f t="shared" si="6"/>
        <v>0.79</v>
      </c>
      <c r="G44" s="134">
        <f t="shared" si="7"/>
        <v>219.66548313124633</v>
      </c>
      <c r="H44" s="117"/>
    </row>
    <row r="45" spans="1:8" x14ac:dyDescent="0.25">
      <c r="A45" s="136">
        <f t="shared" si="2"/>
        <v>30</v>
      </c>
      <c r="B45" s="69" t="s">
        <v>149</v>
      </c>
      <c r="C45" s="130">
        <v>550</v>
      </c>
      <c r="D45" s="130"/>
      <c r="E45" s="130">
        <v>434.5</v>
      </c>
      <c r="F45" s="125">
        <f t="shared" si="6"/>
        <v>0.79</v>
      </c>
      <c r="G45" s="134">
        <f t="shared" si="7"/>
        <v>115.5</v>
      </c>
      <c r="H45" s="117"/>
    </row>
    <row r="46" spans="1:8" x14ac:dyDescent="0.25">
      <c r="A46" s="136">
        <f t="shared" si="2"/>
        <v>31</v>
      </c>
      <c r="B46" s="69" t="s">
        <v>150</v>
      </c>
      <c r="C46" s="130">
        <v>1863.3136726318428</v>
      </c>
      <c r="D46" s="130"/>
      <c r="E46" s="130">
        <v>1472.0178013791558</v>
      </c>
      <c r="F46" s="125">
        <f t="shared" si="6"/>
        <v>0.79</v>
      </c>
      <c r="G46" s="134">
        <f t="shared" si="7"/>
        <v>391.29587125268699</v>
      </c>
      <c r="H46" s="117"/>
    </row>
    <row r="47" spans="1:8" x14ac:dyDescent="0.25">
      <c r="A47" s="136">
        <f t="shared" si="2"/>
        <v>32</v>
      </c>
      <c r="B47" s="69" t="s">
        <v>151</v>
      </c>
      <c r="C47" s="130">
        <v>2574.2551543635605</v>
      </c>
      <c r="D47" s="130"/>
      <c r="E47" s="130">
        <v>2033.6615719472129</v>
      </c>
      <c r="F47" s="125">
        <f t="shared" si="6"/>
        <v>0.79</v>
      </c>
      <c r="G47" s="134">
        <f t="shared" si="7"/>
        <v>540.59358241634754</v>
      </c>
      <c r="H47" s="117"/>
    </row>
    <row r="48" spans="1:8" x14ac:dyDescent="0.25">
      <c r="A48" s="136">
        <f t="shared" si="2"/>
        <v>33</v>
      </c>
      <c r="B48" s="69" t="s">
        <v>152</v>
      </c>
      <c r="C48" s="130">
        <v>2733</v>
      </c>
      <c r="D48" s="130"/>
      <c r="E48" s="130">
        <v>2159.0700000000002</v>
      </c>
      <c r="F48" s="125">
        <f t="shared" si="6"/>
        <v>0.79</v>
      </c>
      <c r="G48" s="134">
        <f t="shared" si="7"/>
        <v>573.92999999999984</v>
      </c>
      <c r="H48" s="117"/>
    </row>
    <row r="49" spans="1:9" s="114" customFormat="1" x14ac:dyDescent="0.25">
      <c r="A49" s="106" t="s">
        <v>32</v>
      </c>
      <c r="B49" s="137" t="s">
        <v>153</v>
      </c>
      <c r="C49" s="133">
        <f>SUM(C51:C66)</f>
        <v>4581.3716979999999</v>
      </c>
      <c r="D49" s="133">
        <f>SUM(D51:D66)</f>
        <v>3413.24</v>
      </c>
      <c r="E49" s="133">
        <f>SUM(E51:E66)</f>
        <v>168.18099999999998</v>
      </c>
      <c r="F49" s="124">
        <f t="shared" si="6"/>
        <v>0.7817355229141244</v>
      </c>
      <c r="G49" s="133">
        <f>SUM(G51:G66)</f>
        <v>731.46</v>
      </c>
      <c r="H49" s="112"/>
    </row>
    <row r="50" spans="1:9" s="114" customFormat="1" x14ac:dyDescent="0.25">
      <c r="A50" s="106"/>
      <c r="B50" s="137" t="s">
        <v>154</v>
      </c>
      <c r="C50" s="131"/>
      <c r="D50" s="131"/>
      <c r="E50" s="131"/>
      <c r="F50" s="125"/>
      <c r="G50" s="134">
        <f t="shared" si="7"/>
        <v>0</v>
      </c>
      <c r="H50" s="112"/>
    </row>
    <row r="51" spans="1:9" ht="31.5" x14ac:dyDescent="0.25">
      <c r="A51" s="136">
        <v>1</v>
      </c>
      <c r="B51" s="69" t="s">
        <v>155</v>
      </c>
      <c r="C51" s="130">
        <v>86.375</v>
      </c>
      <c r="D51" s="130">
        <v>68.134</v>
      </c>
      <c r="E51" s="130"/>
      <c r="F51" s="125">
        <f>+(D51+E51)/C51</f>
        <v>0.78881620839363242</v>
      </c>
      <c r="G51" s="134"/>
      <c r="H51" s="50"/>
    </row>
    <row r="52" spans="1:9" ht="31.5" x14ac:dyDescent="0.25">
      <c r="A52" s="136">
        <f t="shared" ref="A52:A61" si="8">+A51+1</f>
        <v>2</v>
      </c>
      <c r="B52" s="69" t="s">
        <v>116</v>
      </c>
      <c r="C52" s="130">
        <v>25</v>
      </c>
      <c r="D52" s="130"/>
      <c r="E52" s="130"/>
      <c r="F52" s="125"/>
      <c r="G52" s="134"/>
      <c r="H52" s="50"/>
    </row>
    <row r="53" spans="1:9" ht="31.5" x14ac:dyDescent="0.25">
      <c r="A53" s="136">
        <f t="shared" si="8"/>
        <v>3</v>
      </c>
      <c r="B53" s="69" t="s">
        <v>156</v>
      </c>
      <c r="C53" s="130">
        <v>107</v>
      </c>
      <c r="D53" s="130"/>
      <c r="E53" s="130"/>
      <c r="F53" s="125"/>
      <c r="G53" s="134"/>
      <c r="H53" s="50"/>
    </row>
    <row r="54" spans="1:9" ht="31.5" x14ac:dyDescent="0.25">
      <c r="A54" s="136">
        <f t="shared" si="8"/>
        <v>4</v>
      </c>
      <c r="B54" s="69" t="s">
        <v>157</v>
      </c>
      <c r="C54" s="130">
        <v>28</v>
      </c>
      <c r="D54" s="130"/>
      <c r="E54" s="130"/>
      <c r="F54" s="125"/>
      <c r="G54" s="134"/>
      <c r="H54" s="50"/>
    </row>
    <row r="55" spans="1:9" ht="31.5" x14ac:dyDescent="0.25">
      <c r="A55" s="136">
        <f t="shared" si="8"/>
        <v>5</v>
      </c>
      <c r="B55" s="69" t="s">
        <v>158</v>
      </c>
      <c r="C55" s="130">
        <v>8</v>
      </c>
      <c r="D55" s="130"/>
      <c r="E55" s="130"/>
      <c r="F55" s="125"/>
      <c r="G55" s="134"/>
      <c r="H55" s="50"/>
    </row>
    <row r="56" spans="1:9" ht="31.5" x14ac:dyDescent="0.25">
      <c r="A56" s="136">
        <f t="shared" si="8"/>
        <v>6</v>
      </c>
      <c r="B56" s="69" t="s">
        <v>159</v>
      </c>
      <c r="C56" s="130">
        <v>26.661670000000001</v>
      </c>
      <c r="D56" s="130"/>
      <c r="E56" s="130"/>
      <c r="F56" s="125"/>
      <c r="G56" s="134"/>
      <c r="H56" s="50"/>
    </row>
    <row r="57" spans="1:9" ht="31.5" x14ac:dyDescent="0.25">
      <c r="A57" s="136">
        <f t="shared" si="8"/>
        <v>7</v>
      </c>
      <c r="B57" s="69" t="s">
        <v>160</v>
      </c>
      <c r="C57" s="130">
        <v>45</v>
      </c>
      <c r="D57" s="130"/>
      <c r="E57" s="130"/>
      <c r="F57" s="125"/>
      <c r="G57" s="134"/>
      <c r="H57" s="50"/>
    </row>
    <row r="58" spans="1:9" ht="31.5" x14ac:dyDescent="0.25">
      <c r="A58" s="136">
        <f t="shared" si="8"/>
        <v>8</v>
      </c>
      <c r="B58" s="69" t="s">
        <v>161</v>
      </c>
      <c r="C58" s="130">
        <v>3.908191</v>
      </c>
      <c r="D58" s="130"/>
      <c r="E58" s="130"/>
      <c r="F58" s="125"/>
      <c r="G58" s="134"/>
      <c r="H58" s="50"/>
    </row>
    <row r="59" spans="1:9" ht="31.5" x14ac:dyDescent="0.25">
      <c r="A59" s="136">
        <f t="shared" si="8"/>
        <v>9</v>
      </c>
      <c r="B59" s="69" t="s">
        <v>162</v>
      </c>
      <c r="C59" s="130">
        <v>6.679837</v>
      </c>
      <c r="D59" s="130"/>
      <c r="E59" s="130"/>
      <c r="F59" s="125"/>
      <c r="G59" s="134"/>
      <c r="H59" s="50"/>
    </row>
    <row r="60" spans="1:9" ht="31.5" x14ac:dyDescent="0.25">
      <c r="A60" s="136">
        <f t="shared" si="8"/>
        <v>10</v>
      </c>
      <c r="B60" s="69" t="s">
        <v>163</v>
      </c>
      <c r="C60" s="130">
        <v>8.8000000000000007</v>
      </c>
      <c r="D60" s="130">
        <v>8.8000000000000007</v>
      </c>
      <c r="E60" s="130"/>
      <c r="F60" s="125">
        <f>+(D60+E60)/C60</f>
        <v>1</v>
      </c>
      <c r="G60" s="134"/>
      <c r="H60" s="117"/>
    </row>
    <row r="61" spans="1:9" ht="31.5" x14ac:dyDescent="0.25">
      <c r="A61" s="136">
        <f t="shared" si="8"/>
        <v>11</v>
      </c>
      <c r="B61" s="69" t="s">
        <v>124</v>
      </c>
      <c r="C61" s="130">
        <v>0.39100000000000001</v>
      </c>
      <c r="D61" s="130">
        <v>0.39100000000000001</v>
      </c>
      <c r="E61" s="130"/>
      <c r="F61" s="125">
        <f>+(D61+E61)/C61</f>
        <v>1</v>
      </c>
      <c r="G61" s="134"/>
      <c r="H61" s="117"/>
    </row>
    <row r="62" spans="1:9" ht="31.5" x14ac:dyDescent="0.25">
      <c r="A62" s="136">
        <f>+A61+1</f>
        <v>12</v>
      </c>
      <c r="B62" s="69" t="s">
        <v>164</v>
      </c>
      <c r="C62" s="130">
        <v>507</v>
      </c>
      <c r="D62" s="130">
        <v>338.81900000000002</v>
      </c>
      <c r="E62" s="130">
        <f t="shared" ref="E62" si="9">+C62-D62</f>
        <v>168.18099999999998</v>
      </c>
      <c r="F62" s="125">
        <f>+(D62+E62)/C62</f>
        <v>1</v>
      </c>
      <c r="G62" s="134"/>
      <c r="H62" s="117"/>
    </row>
    <row r="63" spans="1:9" s="114" customFormat="1" x14ac:dyDescent="0.25">
      <c r="A63" s="106"/>
      <c r="B63" s="53" t="s">
        <v>120</v>
      </c>
      <c r="C63" s="130"/>
      <c r="D63" s="131"/>
      <c r="E63" s="131"/>
      <c r="F63" s="125"/>
      <c r="G63" s="134"/>
      <c r="H63" s="112"/>
    </row>
    <row r="64" spans="1:9" x14ac:dyDescent="0.25">
      <c r="A64" s="136">
        <f>+A62+1</f>
        <v>13</v>
      </c>
      <c r="B64" s="69" t="s">
        <v>165</v>
      </c>
      <c r="C64" s="130">
        <v>1656.3320000000001</v>
      </c>
      <c r="D64" s="130">
        <v>1345.5319</v>
      </c>
      <c r="E64" s="130"/>
      <c r="F64" s="125">
        <f>+(D64+E64)/C64</f>
        <v>0.81235639956240646</v>
      </c>
      <c r="G64" s="134">
        <f>+C64-D64-E64</f>
        <v>310.80010000000016</v>
      </c>
      <c r="H64" s="50"/>
      <c r="I64" s="121"/>
    </row>
    <row r="65" spans="1:8" ht="31.5" x14ac:dyDescent="0.25">
      <c r="A65" s="136">
        <f>+A64+1</f>
        <v>14</v>
      </c>
      <c r="B65" s="69" t="s">
        <v>166</v>
      </c>
      <c r="C65" s="130">
        <v>1796.2239999999999</v>
      </c>
      <c r="D65" s="130">
        <v>1651.5641000000001</v>
      </c>
      <c r="E65" s="130"/>
      <c r="F65" s="125">
        <f>+(D65+E65)/C65</f>
        <v>0.91946444318748666</v>
      </c>
      <c r="G65" s="134">
        <f>+C65-D65-E65</f>
        <v>144.65989999999988</v>
      </c>
      <c r="H65" s="117"/>
    </row>
    <row r="66" spans="1:8" ht="31.5" x14ac:dyDescent="0.25">
      <c r="A66" s="136">
        <f t="shared" ref="A66" si="10">+A65+1</f>
        <v>15</v>
      </c>
      <c r="B66" s="69" t="s">
        <v>167</v>
      </c>
      <c r="C66" s="130">
        <v>276</v>
      </c>
      <c r="D66" s="130"/>
      <c r="E66" s="130"/>
      <c r="F66" s="125"/>
      <c r="G66" s="134">
        <f>+C66-D66-E66</f>
        <v>276</v>
      </c>
      <c r="H66" s="117"/>
    </row>
  </sheetData>
  <mergeCells count="2">
    <mergeCell ref="A2:H2"/>
    <mergeCell ref="A3:H3"/>
  </mergeCells>
  <printOptions horizontalCentered="1"/>
  <pageMargins left="0.47244094488188981" right="0.35433070866141736" top="0.47244094488188981" bottom="0.35433070866141736" header="0.31496062992125984" footer="0.31496062992125984"/>
  <pageSetup paperSize="9" scale="84"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KH GIẢI NGÂN VỐN TH6,2026</vt:lpstr>
      <vt:lpstr>THEO DÕI GIẢI NGÂN TOÀN XÃ</vt:lpstr>
      <vt:lpstr>PKT + VH</vt:lpstr>
      <vt:lpstr>VP</vt:lpstr>
      <vt:lpstr>CK GIAI NGAN</vt:lpstr>
      <vt:lpstr>CK GIAI NGAN (2)</vt:lpstr>
      <vt:lpstr>'CK GIAI NGAN'!Print_Area</vt:lpstr>
      <vt:lpstr>'CK GIAI NGAN (2)'!Print_Area</vt:lpstr>
      <vt:lpstr>'KH GIẢI NGÂN VỐN TH6,2026'!Print_Area</vt:lpstr>
      <vt:lpstr>'PKT + VH'!Print_Area</vt:lpstr>
      <vt:lpstr>'THEO DÕI GIẢI NGÂN TOÀN XÃ'!Print_Area</vt:lpstr>
      <vt:lpstr>VP!Print_Area</vt:lpstr>
      <vt:lpstr>'CK GIAI NGAN'!Print_Titles</vt:lpstr>
      <vt:lpstr>'CK GIAI NGAN (2)'!Print_Titles</vt:lpstr>
      <vt:lpstr>'KH GIẢI NGÂN VỐN TH6,2026'!Print_Titles</vt:lpstr>
      <vt:lpstr>'PKT + VH'!Print_Titles</vt:lpstr>
      <vt:lpstr>'THEO DÕI GIẢI NGÂN TOÀN XÃ'!Print_Titles</vt:lpstr>
      <vt:lpstr>VP!Print_Titles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 Trong Bao</dc:creator>
  <cp:lastModifiedBy>Toan Duy</cp:lastModifiedBy>
  <cp:lastPrinted>2026-07-21T01:33:31Z</cp:lastPrinted>
  <dcterms:created xsi:type="dcterms:W3CDTF">2025-12-22T04:24:18Z</dcterms:created>
  <dcterms:modified xsi:type="dcterms:W3CDTF">2026-08-11T09:24:48Z</dcterms:modified>
</cp:coreProperties>
</file>